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oore305\Dropbox (GaTech)\Rachel Moore\2022-6-30-GAAB1-metabolic-model\2022-12-28-EXCEL-modelannotations\"/>
    </mc:Choice>
  </mc:AlternateContent>
  <xr:revisionPtr revIDLastSave="0" documentId="13_ncr:1_{9D70044A-523D-44A1-A0A6-48DD57E84614}" xr6:coauthVersionLast="36" xr6:coauthVersionMax="36" xr10:uidLastSave="{00000000-0000-0000-0000-000000000000}"/>
  <bookViews>
    <workbookView xWindow="0" yWindow="0" windowWidth="28800" windowHeight="12225" tabRatio="780" xr2:uid="{9DF17D38-F6DA-443B-908F-CC04CF398935}"/>
  </bookViews>
  <sheets>
    <sheet name="Compiled ALL DATA" sheetId="13" r:id="rId1"/>
    <sheet name="Biomass composition" sheetId="3" r:id="rId2"/>
    <sheet name="GAM estimate" sheetId="11" r:id="rId3"/>
    <sheet name="Energy" sheetId="10" r:id="rId4"/>
    <sheet name="DNA and RNA" sheetId="4" r:id="rId5"/>
    <sheet name="Amino acids and protein" sheetId="2" r:id="rId6"/>
    <sheet name="Cofactor, inorganic, soluble" sheetId="8" r:id="rId7"/>
    <sheet name="Cell wall, carbs, and pigments" sheetId="6" r:id="rId8"/>
    <sheet name="Lipids" sheetId="7" r:id="rId9"/>
    <sheet name="KBase generic bio func." sheetId="1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2" i="13" l="1"/>
  <c r="E89" i="13"/>
  <c r="E91" i="13"/>
  <c r="AC12" i="13"/>
  <c r="AC17" i="13"/>
  <c r="AC18" i="13"/>
  <c r="Z72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60" i="13"/>
  <c r="T60" i="13" s="1"/>
  <c r="X33" i="13"/>
  <c r="X34" i="13"/>
  <c r="X35" i="13"/>
  <c r="X36" i="13"/>
  <c r="X37" i="13"/>
  <c r="X38" i="13"/>
  <c r="X39" i="13"/>
  <c r="X40" i="13"/>
  <c r="T40" i="13" s="1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Q92" i="13"/>
  <c r="Q91" i="13"/>
  <c r="Q90" i="13"/>
  <c r="Q89" i="13"/>
  <c r="X88" i="13"/>
  <c r="Q88" i="13"/>
  <c r="E88" i="13"/>
  <c r="X87" i="13"/>
  <c r="Q87" i="13"/>
  <c r="E87" i="13"/>
  <c r="Q86" i="13"/>
  <c r="X86" i="13" s="1"/>
  <c r="Q81" i="13"/>
  <c r="E81" i="13"/>
  <c r="Q80" i="13"/>
  <c r="E80" i="13"/>
  <c r="Z79" i="13"/>
  <c r="X79" i="13"/>
  <c r="S79" i="13"/>
  <c r="G79" i="13"/>
  <c r="Q78" i="13"/>
  <c r="X78" i="13" s="1"/>
  <c r="Q77" i="13"/>
  <c r="X77" i="13" s="1"/>
  <c r="Y78" i="13" s="1"/>
  <c r="X76" i="13"/>
  <c r="Z78" i="13" s="1"/>
  <c r="S76" i="13"/>
  <c r="Q76" i="13"/>
  <c r="X75" i="13"/>
  <c r="Q75" i="13"/>
  <c r="S75" i="13" s="1"/>
  <c r="J75" i="13"/>
  <c r="G75" i="13"/>
  <c r="F75" i="13"/>
  <c r="Q74" i="13"/>
  <c r="X74" i="13" s="1"/>
  <c r="J74" i="13"/>
  <c r="G74" i="13"/>
  <c r="F74" i="13"/>
  <c r="X73" i="13"/>
  <c r="S73" i="13"/>
  <c r="Q73" i="13"/>
  <c r="J73" i="13"/>
  <c r="G73" i="13"/>
  <c r="F73" i="13"/>
  <c r="Q72" i="13"/>
  <c r="Q70" i="13"/>
  <c r="S60" i="13"/>
  <c r="Q60" i="13"/>
  <c r="T59" i="13"/>
  <c r="S59" i="13"/>
  <c r="Q58" i="13"/>
  <c r="S58" i="13" s="1"/>
  <c r="S57" i="13"/>
  <c r="Q56" i="13"/>
  <c r="S56" i="13" s="1"/>
  <c r="T55" i="13"/>
  <c r="S55" i="13"/>
  <c r="S54" i="13"/>
  <c r="Q53" i="13"/>
  <c r="T53" i="13" s="1"/>
  <c r="T52" i="13"/>
  <c r="S52" i="13"/>
  <c r="Q52" i="13"/>
  <c r="Q51" i="13"/>
  <c r="S51" i="13" s="1"/>
  <c r="Q50" i="13"/>
  <c r="S49" i="13"/>
  <c r="Q49" i="13"/>
  <c r="T48" i="13"/>
  <c r="Q48" i="13"/>
  <c r="S48" i="13" s="1"/>
  <c r="Q47" i="13"/>
  <c r="S47" i="13" s="1"/>
  <c r="Q46" i="13"/>
  <c r="S46" i="13" s="1"/>
  <c r="T45" i="13"/>
  <c r="Q45" i="13"/>
  <c r="S45" i="13" s="1"/>
  <c r="Q44" i="13"/>
  <c r="S44" i="13" s="1"/>
  <c r="Q43" i="13"/>
  <c r="S42" i="13"/>
  <c r="Q42" i="13"/>
  <c r="Q41" i="13"/>
  <c r="S41" i="13" s="1"/>
  <c r="S40" i="13"/>
  <c r="Q40" i="13"/>
  <c r="T39" i="13"/>
  <c r="Q39" i="13"/>
  <c r="S39" i="13" s="1"/>
  <c r="Q38" i="13"/>
  <c r="S38" i="13" s="1"/>
  <c r="Q37" i="13"/>
  <c r="T37" i="13" s="1"/>
  <c r="Q36" i="13"/>
  <c r="T36" i="13" s="1"/>
  <c r="Q35" i="13"/>
  <c r="S35" i="13" s="1"/>
  <c r="Q34" i="13"/>
  <c r="Q33" i="13"/>
  <c r="X31" i="13"/>
  <c r="Q31" i="13"/>
  <c r="S31" i="13" s="1"/>
  <c r="D31" i="13"/>
  <c r="Q30" i="13"/>
  <c r="S30" i="13" s="1"/>
  <c r="Q29" i="13"/>
  <c r="S29" i="13" s="1"/>
  <c r="Q28" i="13"/>
  <c r="S28" i="13" s="1"/>
  <c r="Q27" i="13"/>
  <c r="S27" i="13" s="1"/>
  <c r="Q26" i="13"/>
  <c r="S26" i="13" s="1"/>
  <c r="Q25" i="13"/>
  <c r="S25" i="13" s="1"/>
  <c r="Q24" i="13"/>
  <c r="S24" i="13" s="1"/>
  <c r="Q23" i="13"/>
  <c r="S23" i="13" s="1"/>
  <c r="S22" i="13"/>
  <c r="Q22" i="13"/>
  <c r="Q21" i="13"/>
  <c r="S21" i="13" s="1"/>
  <c r="Q20" i="13"/>
  <c r="S20" i="13" s="1"/>
  <c r="Q19" i="13"/>
  <c r="S19" i="13" s="1"/>
  <c r="Q18" i="13"/>
  <c r="S18" i="13" s="1"/>
  <c r="Q17" i="13"/>
  <c r="S17" i="13" s="1"/>
  <c r="Q16" i="13"/>
  <c r="S16" i="13" s="1"/>
  <c r="Q15" i="13"/>
  <c r="S15" i="13" s="1"/>
  <c r="Q14" i="13"/>
  <c r="S14" i="13" s="1"/>
  <c r="Q13" i="13"/>
  <c r="S13" i="13" s="1"/>
  <c r="Q12" i="13"/>
  <c r="S12" i="13" s="1"/>
  <c r="Q11" i="13"/>
  <c r="S11" i="13" s="1"/>
  <c r="Q10" i="13"/>
  <c r="S10" i="13" s="1"/>
  <c r="Q9" i="13"/>
  <c r="S9" i="13" s="1"/>
  <c r="S8" i="13"/>
  <c r="Q8" i="13"/>
  <c r="Q7" i="13"/>
  <c r="S7" i="13" s="1"/>
  <c r="S6" i="13"/>
  <c r="Q6" i="13"/>
  <c r="S5" i="13"/>
  <c r="Q5" i="13"/>
  <c r="Q4" i="13"/>
  <c r="S4" i="13" s="1"/>
  <c r="Q3" i="13"/>
  <c r="S3" i="13" s="1"/>
  <c r="T68" i="13" l="1"/>
  <c r="T58" i="13"/>
  <c r="T50" i="13"/>
  <c r="T57" i="13"/>
  <c r="T33" i="13"/>
  <c r="T34" i="13"/>
  <c r="T42" i="13"/>
  <c r="T43" i="13"/>
  <c r="T67" i="13"/>
  <c r="T62" i="13"/>
  <c r="T71" i="13"/>
  <c r="T66" i="13"/>
  <c r="T70" i="13"/>
  <c r="T65" i="13"/>
  <c r="T64" i="13"/>
  <c r="T69" i="13"/>
  <c r="T56" i="13"/>
  <c r="T63" i="13"/>
  <c r="S33" i="13"/>
  <c r="Z75" i="13"/>
  <c r="X81" i="13"/>
  <c r="T46" i="13"/>
  <c r="T72" i="13"/>
  <c r="E93" i="13"/>
  <c r="S36" i="13"/>
  <c r="T31" i="13"/>
  <c r="E31" i="13" s="1"/>
  <c r="S43" i="13"/>
  <c r="T49" i="13"/>
  <c r="S37" i="13"/>
  <c r="S53" i="13"/>
  <c r="S77" i="13"/>
  <c r="T47" i="13"/>
  <c r="S74" i="13"/>
  <c r="S78" i="13"/>
  <c r="T41" i="13"/>
  <c r="T54" i="13"/>
  <c r="T38" i="13"/>
  <c r="X80" i="13"/>
  <c r="S34" i="13"/>
  <c r="S50" i="13"/>
  <c r="T44" i="13"/>
  <c r="T35" i="13"/>
  <c r="T51" i="13"/>
  <c r="T61" i="13" l="1"/>
  <c r="D11" i="4" l="1"/>
  <c r="D9" i="3"/>
  <c r="D7" i="3"/>
  <c r="D12" i="3" s="1"/>
  <c r="D3" i="3"/>
  <c r="E12" i="3" l="1"/>
  <c r="B14" i="4" l="1"/>
  <c r="B13" i="4"/>
  <c r="B12" i="4"/>
  <c r="E12" i="4" s="1"/>
  <c r="B11" i="4"/>
  <c r="B6" i="4"/>
  <c r="B5" i="4"/>
  <c r="B4" i="4"/>
  <c r="B3" i="4" l="1"/>
  <c r="B15" i="2"/>
  <c r="B17" i="2"/>
  <c r="B2" i="2"/>
  <c r="B18" i="2"/>
  <c r="B4" i="2"/>
  <c r="B20" i="2"/>
  <c r="B11" i="2"/>
  <c r="B10" i="2"/>
  <c r="B3" i="2"/>
  <c r="B19" i="2"/>
  <c r="B5" i="2"/>
  <c r="B21" i="2"/>
  <c r="B7" i="2"/>
  <c r="B6" i="2"/>
  <c r="B16" i="2"/>
  <c r="B12" i="2"/>
  <c r="B8" i="2"/>
  <c r="B9" i="2"/>
  <c r="B13" i="2"/>
  <c r="B14" i="2"/>
  <c r="B4" i="11"/>
  <c r="B3" i="11"/>
  <c r="B2" i="11"/>
  <c r="B6" i="10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AC19" i="13" l="1"/>
  <c r="E23" i="2"/>
  <c r="G18" i="2" l="1"/>
  <c r="H18" i="2" s="1"/>
  <c r="G19" i="2"/>
  <c r="H19" i="2" s="1"/>
  <c r="G4" i="2"/>
  <c r="H4" i="2" s="1"/>
  <c r="G21" i="2"/>
  <c r="H21" i="2" s="1"/>
  <c r="G6" i="2"/>
  <c r="H6" i="2" s="1"/>
  <c r="G7" i="2"/>
  <c r="H7" i="2" s="1"/>
  <c r="G8" i="2"/>
  <c r="H8" i="2" s="1"/>
  <c r="G12" i="2"/>
  <c r="H12" i="2" s="1"/>
  <c r="G3" i="2"/>
  <c r="H3" i="2" s="1"/>
  <c r="G5" i="2"/>
  <c r="H5" i="2" s="1"/>
  <c r="G10" i="2"/>
  <c r="H10" i="2" s="1"/>
  <c r="G11" i="2"/>
  <c r="H11" i="2" s="1"/>
  <c r="G14" i="2"/>
  <c r="H14" i="2" s="1"/>
  <c r="G20" i="2"/>
  <c r="H20" i="2" s="1"/>
  <c r="G2" i="2"/>
  <c r="H2" i="2" s="1"/>
  <c r="G9" i="2"/>
  <c r="H9" i="2" s="1"/>
  <c r="G13" i="2"/>
  <c r="H13" i="2" s="1"/>
  <c r="G16" i="2"/>
  <c r="H16" i="2" s="1"/>
  <c r="G15" i="2"/>
  <c r="H15" i="2" s="1"/>
  <c r="G17" i="2"/>
  <c r="H17" i="2" s="1"/>
  <c r="C15" i="4"/>
  <c r="C6" i="4"/>
  <c r="C5" i="4"/>
  <c r="C4" i="4"/>
  <c r="C3" i="4"/>
  <c r="D22" i="2"/>
  <c r="T3" i="13" l="1"/>
  <c r="T12" i="13"/>
  <c r="E12" i="13" s="1"/>
  <c r="X12" i="13" s="1"/>
  <c r="T4" i="13"/>
  <c r="E4" i="13" s="1"/>
  <c r="X4" i="13" s="1"/>
  <c r="T16" i="13"/>
  <c r="E16" i="13" s="1"/>
  <c r="X16" i="13" s="1"/>
  <c r="T10" i="13"/>
  <c r="E10" i="13" s="1"/>
  <c r="X10" i="13" s="1"/>
  <c r="T21" i="13"/>
  <c r="E21" i="13" s="1"/>
  <c r="X21" i="13" s="1"/>
  <c r="T15" i="13"/>
  <c r="E15" i="13" s="1"/>
  <c r="X15" i="13" s="1"/>
  <c r="T11" i="13"/>
  <c r="E11" i="13" s="1"/>
  <c r="X11" i="13" s="1"/>
  <c r="T6" i="13"/>
  <c r="E6" i="13" s="1"/>
  <c r="X6" i="13" s="1"/>
  <c r="T13" i="13"/>
  <c r="E13" i="13" s="1"/>
  <c r="X13" i="13" s="1"/>
  <c r="T9" i="13"/>
  <c r="E9" i="13" s="1"/>
  <c r="X9" i="13" s="1"/>
  <c r="T8" i="13"/>
  <c r="E8" i="13" s="1"/>
  <c r="X8" i="13" s="1"/>
  <c r="T7" i="13"/>
  <c r="E7" i="13" s="1"/>
  <c r="X7" i="13" s="1"/>
  <c r="T18" i="13"/>
  <c r="E18" i="13" s="1"/>
  <c r="X18" i="13" s="1"/>
  <c r="T22" i="13"/>
  <c r="E22" i="13" s="1"/>
  <c r="X22" i="13" s="1"/>
  <c r="T5" i="13"/>
  <c r="E5" i="13" s="1"/>
  <c r="X5" i="13" s="1"/>
  <c r="T17" i="13"/>
  <c r="E17" i="13" s="1"/>
  <c r="X17" i="13" s="1"/>
  <c r="T20" i="13"/>
  <c r="E20" i="13" s="1"/>
  <c r="X20" i="13" s="1"/>
  <c r="T14" i="13"/>
  <c r="E14" i="13" s="1"/>
  <c r="X14" i="13" s="1"/>
  <c r="T19" i="13"/>
  <c r="E19" i="13" s="1"/>
  <c r="X19" i="13" s="1"/>
  <c r="D13" i="4"/>
  <c r="D14" i="4"/>
  <c r="D12" i="4"/>
  <c r="C2" i="11"/>
  <c r="E2" i="11" s="1"/>
  <c r="C7" i="10"/>
  <c r="B7" i="10" s="1"/>
  <c r="C7" i="4"/>
  <c r="E13" i="4" s="1"/>
  <c r="V22" i="13" l="1"/>
  <c r="E3" i="13"/>
  <c r="X3" i="13" s="1"/>
  <c r="Y22" i="13" s="1"/>
  <c r="E11" i="4"/>
  <c r="D16" i="4"/>
  <c r="F12" i="4" s="1"/>
  <c r="D6" i="4"/>
  <c r="E6" i="4" s="1"/>
  <c r="D3" i="4"/>
  <c r="D5" i="4"/>
  <c r="E5" i="4" s="1"/>
  <c r="D4" i="4"/>
  <c r="E4" i="4" s="1"/>
  <c r="B12" i="3"/>
  <c r="C12" i="3"/>
  <c r="X91" i="13" l="1"/>
  <c r="E83" i="13"/>
  <c r="F11" i="4"/>
  <c r="F13" i="4"/>
  <c r="E3" i="4"/>
  <c r="E14" i="4"/>
  <c r="F14" i="4" s="1"/>
  <c r="D8" i="4"/>
  <c r="F4" i="4" s="1"/>
  <c r="G4" i="4" s="1"/>
  <c r="Z22" i="13" l="1"/>
  <c r="AC13" i="13"/>
  <c r="T24" i="13"/>
  <c r="E24" i="13" s="1"/>
  <c r="X24" i="13" s="1"/>
  <c r="F3" i="4"/>
  <c r="F6" i="4"/>
  <c r="G6" i="4" s="1"/>
  <c r="F5" i="4"/>
  <c r="G5" i="4" s="1"/>
  <c r="G11" i="4"/>
  <c r="G14" i="4"/>
  <c r="G12" i="4"/>
  <c r="G13" i="4"/>
  <c r="T28" i="13" l="1"/>
  <c r="E28" i="13" s="1"/>
  <c r="X28" i="13" s="1"/>
  <c r="T29" i="13"/>
  <c r="E29" i="13" s="1"/>
  <c r="X29" i="13" s="1"/>
  <c r="T30" i="13"/>
  <c r="E30" i="13" s="1"/>
  <c r="T27" i="13"/>
  <c r="T25" i="13"/>
  <c r="E25" i="13" s="1"/>
  <c r="X25" i="13" s="1"/>
  <c r="T26" i="13"/>
  <c r="E26" i="13" s="1"/>
  <c r="X26" i="13" s="1"/>
  <c r="G3" i="4"/>
  <c r="G15" i="4"/>
  <c r="T23" i="13" l="1"/>
  <c r="V30" i="13"/>
  <c r="E90" i="13" s="1"/>
  <c r="E27" i="13"/>
  <c r="X27" i="13" s="1"/>
  <c r="X30" i="13"/>
  <c r="E82" i="13"/>
  <c r="G7" i="4"/>
  <c r="C3" i="11" s="1"/>
  <c r="E3" i="11" s="1"/>
  <c r="C4" i="11"/>
  <c r="E4" i="11" s="1"/>
  <c r="X90" i="13" l="1"/>
  <c r="Y30" i="13"/>
  <c r="Z30" i="13" s="1"/>
  <c r="V26" i="13"/>
  <c r="X89" i="13" s="1"/>
  <c r="E23" i="13"/>
  <c r="X23" i="13" s="1"/>
  <c r="Y26" i="13" s="1"/>
  <c r="Z26" i="13" s="1"/>
  <c r="B5" i="10"/>
  <c r="E5" i="11"/>
  <c r="C96" i="13" l="1"/>
  <c r="C97" i="13" s="1"/>
  <c r="E92" i="13"/>
  <c r="B10" i="11"/>
  <c r="B11" i="11" s="1"/>
  <c r="AC14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Moore, Rachel A</author>
  </authors>
  <commentList>
    <comment ref="B1" authorId="0" shapeId="0" xr:uid="{470B2A08-26BD-43A3-94E2-752390D205BE}">
      <text>
        <r>
          <rPr>
            <b/>
            <sz val="9"/>
            <color indexed="81"/>
            <rFont val="Tahoma"/>
            <family val="2"/>
          </rPr>
          <t>Moore, Rachel A:</t>
        </r>
        <r>
          <rPr>
            <sz val="9"/>
            <color indexed="81"/>
            <rFont val="Tahoma"/>
            <family val="2"/>
          </rPr>
          <t xml:space="preserve">
Based on Kbase's template</t>
        </r>
      </text>
    </comment>
    <comment ref="C1" authorId="0" shapeId="0" xr:uid="{CB3E4B50-BA35-4D9E-892F-0E583873AA30}">
      <text>
        <r>
          <rPr>
            <b/>
            <sz val="9"/>
            <color indexed="81"/>
            <rFont val="Tahoma"/>
            <family val="2"/>
          </rPr>
          <t>Moore, Rachel A:</t>
        </r>
        <r>
          <rPr>
            <sz val="9"/>
            <color indexed="81"/>
            <rFont val="Tahoma"/>
            <family val="2"/>
          </rPr>
          <t xml:space="preserve">
Synechocystis sp. PCC6803 from Yoshikawa et al 2011.</t>
        </r>
      </text>
    </comment>
    <comment ref="C3" authorId="0" shapeId="0" xr:uid="{AD03D80B-9E16-463E-B656-F60EE2C10999}">
      <text>
        <r>
          <rPr>
            <b/>
            <sz val="9"/>
            <color indexed="81"/>
            <rFont val="Tahoma"/>
            <family val="2"/>
          </rPr>
          <t>Moore, Rachel A:</t>
        </r>
        <r>
          <rPr>
            <sz val="9"/>
            <color indexed="81"/>
            <rFont val="Tahoma"/>
            <family val="2"/>
          </rPr>
          <t xml:space="preserve">
This is included in carbohydrates</t>
        </r>
      </text>
    </comment>
    <comment ref="D3" authorId="0" shapeId="0" xr:uid="{75ED69D4-BE67-4F86-8D49-2AB9BD2281AB}">
      <text>
        <r>
          <rPr>
            <b/>
            <sz val="9"/>
            <color indexed="81"/>
            <rFont val="Tahoma"/>
            <family val="2"/>
          </rPr>
          <t>Moore, Rachel A:</t>
        </r>
        <r>
          <rPr>
            <sz val="9"/>
            <color indexed="81"/>
            <rFont val="Tahoma"/>
            <family val="2"/>
          </rPr>
          <t xml:space="preserve">
Peptidoglycan and LPS</t>
        </r>
      </text>
    </comment>
    <comment ref="D7" authorId="0" shapeId="0" xr:uid="{A745BA28-CC32-4BBA-85D6-C1BF54C84CBD}">
      <text>
        <r>
          <rPr>
            <b/>
            <sz val="9"/>
            <color indexed="81"/>
            <rFont val="Tahoma"/>
            <family val="2"/>
          </rPr>
          <t>Moore, Rachel A:</t>
        </r>
        <r>
          <rPr>
            <sz val="9"/>
            <color indexed="81"/>
            <rFont val="Tahoma"/>
            <family val="2"/>
          </rPr>
          <t xml:space="preserve">
Soluble pool and inorganic ions</t>
        </r>
      </text>
    </comment>
    <comment ref="E7" authorId="0" shapeId="0" xr:uid="{2D9CF206-01AC-4301-B957-51A273369C35}">
      <text>
        <r>
          <rPr>
            <b/>
            <sz val="9"/>
            <color indexed="81"/>
            <rFont val="Tahoma"/>
            <family val="2"/>
          </rPr>
          <t>Moore, Rachel A:</t>
        </r>
        <r>
          <rPr>
            <sz val="9"/>
            <color indexed="81"/>
            <rFont val="Tahoma"/>
            <family val="2"/>
          </rPr>
          <t xml:space="preserve">
based on Kbase template and Nogales et al 2012.</t>
        </r>
      </text>
    </comment>
    <comment ref="C8" authorId="0" shapeId="0" xr:uid="{70FF4661-5AC9-4141-8033-6BF9AB6A616B}">
      <text>
        <r>
          <rPr>
            <b/>
            <sz val="9"/>
            <color indexed="81"/>
            <rFont val="Tahoma"/>
            <family val="2"/>
          </rPr>
          <t>Moore, Rachel A:</t>
        </r>
        <r>
          <rPr>
            <sz val="9"/>
            <color indexed="81"/>
            <rFont val="Tahoma"/>
            <family val="2"/>
          </rPr>
          <t xml:space="preserve">
This is for heterotrophic growth.</t>
        </r>
      </text>
    </comment>
    <comment ref="E8" authorId="0" shapeId="0" xr:uid="{3BEA888A-E5FF-43C0-9E72-7B99F5A20329}">
      <text>
        <r>
          <rPr>
            <b/>
            <sz val="9"/>
            <color indexed="81"/>
            <rFont val="Tahoma"/>
            <family val="2"/>
          </rPr>
          <t>Moore, Rachel A:</t>
        </r>
        <r>
          <rPr>
            <sz val="9"/>
            <color indexed="81"/>
            <rFont val="Tahoma"/>
            <family val="2"/>
          </rPr>
          <t xml:space="preserve">
Shastri and Morgan 2008 autotrophic value</t>
        </r>
      </text>
    </comment>
    <comment ref="D9" authorId="0" shapeId="0" xr:uid="{59C34824-007C-451D-A202-95783D10845D}">
      <text>
        <r>
          <rPr>
            <b/>
            <sz val="9"/>
            <color indexed="81"/>
            <rFont val="Tahoma"/>
            <family val="2"/>
          </rPr>
          <t>Moore, Rachel A:</t>
        </r>
        <r>
          <rPr>
            <sz val="9"/>
            <color indexed="81"/>
            <rFont val="Tahoma"/>
            <family val="2"/>
          </rPr>
          <t xml:space="preserve">
Pigments</t>
        </r>
      </text>
    </comment>
    <comment ref="B10" authorId="0" shapeId="0" xr:uid="{158D7FE1-C9C8-49D3-8B77-5813CFFF7EDF}">
      <text>
        <r>
          <rPr>
            <b/>
            <sz val="9"/>
            <color indexed="81"/>
            <rFont val="Tahoma"/>
            <family val="2"/>
          </rPr>
          <t>Moore, Rachel A:</t>
        </r>
        <r>
          <rPr>
            <sz val="9"/>
            <color indexed="81"/>
            <rFont val="Tahoma"/>
            <family val="2"/>
          </rPr>
          <t xml:space="preserve">
These are included in cell wall 
</t>
        </r>
      </text>
    </comment>
    <comment ref="C10" authorId="0" shapeId="0" xr:uid="{8613E471-87A3-4C9B-9A7A-8A3F8D400695}">
      <text>
        <r>
          <rPr>
            <b/>
            <sz val="9"/>
            <color indexed="81"/>
            <rFont val="Tahoma"/>
            <family val="2"/>
          </rPr>
          <t>Moore, Rachel A:</t>
        </r>
        <r>
          <rPr>
            <sz val="9"/>
            <color indexed="81"/>
            <rFont val="Tahoma"/>
            <family val="2"/>
          </rPr>
          <t xml:space="preserve">
"Carbohydrate in the biomass consisted of peptidoglycan, lipopolysaccharide, pigments, and glycogen."</t>
        </r>
      </text>
    </comment>
    <comment ref="D10" authorId="0" shapeId="0" xr:uid="{8DBFF728-E279-4FC7-82E7-223BCBEDC237}">
      <text>
        <r>
          <rPr>
            <b/>
            <sz val="9"/>
            <color indexed="81"/>
            <rFont val="Tahoma"/>
            <family val="2"/>
          </rPr>
          <t>Moore, Rachel A:</t>
        </r>
        <r>
          <rPr>
            <sz val="9"/>
            <color indexed="81"/>
            <rFont val="Tahoma"/>
            <family val="2"/>
          </rPr>
          <t xml:space="preserve">
Glycogen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Moore, Rachel A</author>
  </authors>
  <commentList>
    <comment ref="D1" authorId="0" shapeId="0" xr:uid="{8DDEC85B-BF4E-460D-95DB-7649EC7CCD49}">
      <text>
        <r>
          <rPr>
            <b/>
            <sz val="9"/>
            <color indexed="81"/>
            <rFont val="Tahoma"/>
            <family val="2"/>
          </rPr>
          <t>Moore, Rachel A:</t>
        </r>
        <r>
          <rPr>
            <sz val="9"/>
            <color indexed="81"/>
            <rFont val="Tahoma"/>
            <family val="2"/>
          </rPr>
          <t xml:space="preserve">
From Neihardt et al 1990</t>
        </r>
      </text>
    </comment>
    <comment ref="E1" authorId="0" shapeId="0" xr:uid="{C025129A-4EA0-4317-9063-EF23E3D48E5F}">
      <text>
        <r>
          <rPr>
            <b/>
            <sz val="9"/>
            <color indexed="81"/>
            <rFont val="Tahoma"/>
            <family val="2"/>
          </rPr>
          <t>Moore, Rachel A:</t>
        </r>
        <r>
          <rPr>
            <sz val="9"/>
            <color indexed="81"/>
            <rFont val="Tahoma"/>
            <family val="2"/>
          </rPr>
          <t xml:space="preserve">
Calculation from Thiele and Palsson 2010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Moore, Rachel A</author>
  </authors>
  <commentList>
    <comment ref="C7" authorId="0" shapeId="0" xr:uid="{E3F2AD4B-1E2C-4850-850A-0ABC357CBCEC}">
      <text>
        <r>
          <rPr>
            <b/>
            <sz val="9"/>
            <color indexed="81"/>
            <rFont val="Tahoma"/>
            <family val="2"/>
          </rPr>
          <t>Moore, Rachel A:</t>
        </r>
        <r>
          <rPr>
            <sz val="9"/>
            <color indexed="81"/>
            <rFont val="Tahoma"/>
            <family val="2"/>
          </rPr>
          <t xml:space="preserve">
sum of AA used to calculate H2O
</t>
        </r>
      </text>
    </comment>
  </commentList>
</comments>
</file>

<file path=xl/sharedStrings.xml><?xml version="1.0" encoding="utf-8"?>
<sst xmlns="http://schemas.openxmlformats.org/spreadsheetml/2006/main" count="994" uniqueCount="483">
  <si>
    <t>DNA</t>
  </si>
  <si>
    <t>Protein</t>
  </si>
  <si>
    <t>RNA</t>
  </si>
  <si>
    <t>Stearoylcardiolipin</t>
  </si>
  <si>
    <t>LEFT</t>
  </si>
  <si>
    <t>RIGHT</t>
  </si>
  <si>
    <t xml:space="preserve"> 10-Formyltetrahydrofolate[c0]</t>
  </si>
  <si>
    <t xml:space="preserve"> 2-Demethylmenaquinone 8[c0]</t>
  </si>
  <si>
    <t xml:space="preserve"> 5-Methyltetrahydrofolate[c0]</t>
  </si>
  <si>
    <t xml:space="preserve"> ACP[c0]</t>
  </si>
  <si>
    <t xml:space="preserve"> ATP[c0]</t>
  </si>
  <si>
    <t xml:space="preserve"> BIOT[c0]</t>
  </si>
  <si>
    <t xml:space="preserve"> Bactoprenyl diphosphate[c0]</t>
  </si>
  <si>
    <t xml:space="preserve"> CTP[c0]</t>
  </si>
  <si>
    <t xml:space="preserve"> Ca2</t>
  </si>
  <si>
    <t xml:space="preserve"> Calomide[c0]</t>
  </si>
  <si>
    <t xml:space="preserve"> Chlorophyll a[c0]</t>
  </si>
  <si>
    <t xml:space="preserve"> Cl-[c0]</t>
  </si>
  <si>
    <t xml:space="preserve"> Co2</t>
  </si>
  <si>
    <t xml:space="preserve"> CoA[c0]</t>
  </si>
  <si>
    <t xml:space="preserve"> Cu2</t>
  </si>
  <si>
    <t xml:space="preserve"> DNA replication[c0]</t>
  </si>
  <si>
    <t xml:space="preserve"> FAD[c0]</t>
  </si>
  <si>
    <t xml:space="preserve"> FMN[c0]</t>
  </si>
  <si>
    <t xml:space="preserve"> Fe2</t>
  </si>
  <si>
    <t xml:space="preserve"> GSH[c0]</t>
  </si>
  <si>
    <t xml:space="preserve"> GTP[c0]</t>
  </si>
  <si>
    <t xml:space="preserve"> Glycine[c0]</t>
  </si>
  <si>
    <t xml:space="preserve"> H2O[c0]</t>
  </si>
  <si>
    <t xml:space="preserve"> Heme[c0]</t>
  </si>
  <si>
    <t xml:space="preserve"> K</t>
  </si>
  <si>
    <t xml:space="preserve"> L-Alanine[c0]</t>
  </si>
  <si>
    <t xml:space="preserve"> L-Arginine[c0]</t>
  </si>
  <si>
    <t xml:space="preserve"> L-Asparagine[c0]</t>
  </si>
  <si>
    <t xml:space="preserve"> L-Aspartate[c0]</t>
  </si>
  <si>
    <t xml:space="preserve"> L-Cysteine[c0]</t>
  </si>
  <si>
    <t xml:space="preserve"> L-Glutamate[c0]</t>
  </si>
  <si>
    <t xml:space="preserve"> L-Glutamine[c0]</t>
  </si>
  <si>
    <t xml:space="preserve"> L-Histidine[c0]</t>
  </si>
  <si>
    <t xml:space="preserve"> L-Isoleucine[c0]</t>
  </si>
  <si>
    <t xml:space="preserve"> L-Leucine[c0]</t>
  </si>
  <si>
    <t xml:space="preserve"> L-Lysine[c0]</t>
  </si>
  <si>
    <t xml:space="preserve"> L-Methionine[c0]</t>
  </si>
  <si>
    <t xml:space="preserve"> L-Phenylalanine[c0]</t>
  </si>
  <si>
    <t xml:space="preserve"> L-Proline[c0]</t>
  </si>
  <si>
    <t xml:space="preserve"> L-Serine[c0]</t>
  </si>
  <si>
    <t xml:space="preserve"> L-Threonine[c0]</t>
  </si>
  <si>
    <t xml:space="preserve"> L-Tryptophan[c0]</t>
  </si>
  <si>
    <t xml:space="preserve"> L-Tyrosine[c0]</t>
  </si>
  <si>
    <t xml:space="preserve"> L-Valine[c0]</t>
  </si>
  <si>
    <t xml:space="preserve"> Menaquinone 8[c0]</t>
  </si>
  <si>
    <t xml:space="preserve"> Mg[c0]</t>
  </si>
  <si>
    <t xml:space="preserve"> Mn2</t>
  </si>
  <si>
    <t xml:space="preserve"> NAD[c0]</t>
  </si>
  <si>
    <t xml:space="preserve"> NADP[c0]</t>
  </si>
  <si>
    <t xml:space="preserve"> Peptidoglycan polymer (n subunits</t>
  </si>
  <si>
    <t xml:space="preserve"> Phosphatidylglycerol dioctadecanoyl[c0]</t>
  </si>
  <si>
    <t xml:space="preserve"> Protein biosynthesis[c0]</t>
  </si>
  <si>
    <t xml:space="preserve"> Putrescine[c0]</t>
  </si>
  <si>
    <t xml:space="preserve"> Pyridoxal phosphate[c0]</t>
  </si>
  <si>
    <t xml:space="preserve"> RNA transcription[c0]</t>
  </si>
  <si>
    <t xml:space="preserve"> Riboflavin[c0]</t>
  </si>
  <si>
    <t xml:space="preserve"> S-Adenosyl-L-methionine[c0]</t>
  </si>
  <si>
    <t xml:space="preserve"> Siroheme[c0]</t>
  </si>
  <si>
    <t xml:space="preserve"> Spermidine[c0]</t>
  </si>
  <si>
    <t xml:space="preserve"> Stearoylcardiolipin (B. subtilis</t>
  </si>
  <si>
    <t xml:space="preserve"> Sulfate[c0]</t>
  </si>
  <si>
    <t xml:space="preserve"> TPP[c0]</t>
  </si>
  <si>
    <t xml:space="preserve"> TTP[c0]</t>
  </si>
  <si>
    <t xml:space="preserve"> Tetrahydrofolate[c0]</t>
  </si>
  <si>
    <t xml:space="preserve"> UDP-N-acetylglucosamine[c0]</t>
  </si>
  <si>
    <t xml:space="preserve"> UTP[c0]</t>
  </si>
  <si>
    <t xml:space="preserve"> Ubiquinone-8[c0]</t>
  </si>
  <si>
    <t xml:space="preserve"> Zn2</t>
  </si>
  <si>
    <t xml:space="preserve"> core oligosaccharide lipid A[c0]</t>
  </si>
  <si>
    <t xml:space="preserve"> dATP[c0]</t>
  </si>
  <si>
    <t xml:space="preserve"> dCTP[c0]</t>
  </si>
  <si>
    <t xml:space="preserve"> dGTP[c0]</t>
  </si>
  <si>
    <t xml:space="preserve"> fe3[c0]</t>
  </si>
  <si>
    <t xml:space="preserve"> phosphatidylethanolamine dioctadecanoyl[c0]</t>
  </si>
  <si>
    <t xml:space="preserve"> ADP[c0]</t>
  </si>
  <si>
    <t xml:space="preserve"> Biomass[c0]</t>
  </si>
  <si>
    <t xml:space="preserve"> Cobinamide[c0]</t>
  </si>
  <si>
    <t xml:space="preserve"> Dimethylbenzimidazole[c0]</t>
  </si>
  <si>
    <t xml:space="preserve"> H</t>
  </si>
  <si>
    <t xml:space="preserve"> PPi[c0]</t>
  </si>
  <si>
    <t xml:space="preserve"> Peptidoglycan polymer (n-1 subunits</t>
  </si>
  <si>
    <t xml:space="preserve"> Phosphate[c0]</t>
  </si>
  <si>
    <t xml:space="preserve"> apo-ACP[c0]</t>
  </si>
  <si>
    <t>Amino acids and protein</t>
  </si>
  <si>
    <t>Molecular weight (g/mol)</t>
  </si>
  <si>
    <t>Protein composition (% amino acid/proteome)</t>
  </si>
  <si>
    <t>Molecular weight of protein (g/mol)</t>
  </si>
  <si>
    <t>Compound Type</t>
  </si>
  <si>
    <t>Lipid</t>
  </si>
  <si>
    <t xml:space="preserve">Biomass composition (g/gDW) Generic Gram - </t>
  </si>
  <si>
    <t>Cellwall</t>
  </si>
  <si>
    <t>Cofactor</t>
  </si>
  <si>
    <t>Energy</t>
  </si>
  <si>
    <t>Other</t>
  </si>
  <si>
    <t>Carbohydrates</t>
  </si>
  <si>
    <t>DNA AND RNA</t>
  </si>
  <si>
    <t>Molecular weight of DNA (g/mol)</t>
  </si>
  <si>
    <t>Molecular weight of RNA (g/mol)</t>
  </si>
  <si>
    <t>dATP</t>
  </si>
  <si>
    <t>dCTP</t>
  </si>
  <si>
    <t>dGTP</t>
  </si>
  <si>
    <t>dTTP</t>
  </si>
  <si>
    <t>ATP</t>
  </si>
  <si>
    <t>CTP</t>
  </si>
  <si>
    <t>GTP</t>
  </si>
  <si>
    <t>UTP</t>
  </si>
  <si>
    <t>core oligosaccharide lipid A</t>
  </si>
  <si>
    <t>cpd15432</t>
  </si>
  <si>
    <t>cpd02229</t>
  </si>
  <si>
    <t>cpd15665</t>
  </si>
  <si>
    <t>Peptidoglycan polymer (n subunits)</t>
  </si>
  <si>
    <t>Sum</t>
  </si>
  <si>
    <t>cpd15793</t>
  </si>
  <si>
    <t>cpd15540</t>
  </si>
  <si>
    <t>Phosphatidylglycerol dioctadecanoyl</t>
  </si>
  <si>
    <t>cpd15533</t>
  </si>
  <si>
    <t>phosphatidylethanolamine dioctadecanoyl</t>
  </si>
  <si>
    <t>Biomass composition (This study)</t>
  </si>
  <si>
    <t>H2O</t>
  </si>
  <si>
    <t>sum</t>
  </si>
  <si>
    <t>count in proteome</t>
  </si>
  <si>
    <t>Nucleotide composition (% nucleic acid/genome)</t>
  </si>
  <si>
    <t>Count of nucleotide (genome and plasmids)</t>
  </si>
  <si>
    <t>Nucleotide composition (% nucleic acid/CDS genome)</t>
  </si>
  <si>
    <t>Count of nucleotide CDS (genome and plasmids)</t>
  </si>
  <si>
    <t>mmol nucleotide/ g dry weight</t>
  </si>
  <si>
    <t>Molecular mass w/o water</t>
  </si>
  <si>
    <t>g monomer/mol protein</t>
  </si>
  <si>
    <t>g monomer/ g protein</t>
  </si>
  <si>
    <t>mmol monomer/g dry weight</t>
  </si>
  <si>
    <t>Energy components</t>
  </si>
  <si>
    <t>Phosphate[c0]</t>
  </si>
  <si>
    <t>PPi[c0]</t>
  </si>
  <si>
    <t>Lipids*</t>
  </si>
  <si>
    <t>WT%</t>
  </si>
  <si>
    <t>Total mmol</t>
  </si>
  <si>
    <t>mmol ~P/mmol</t>
  </si>
  <si>
    <t>Total</t>
  </si>
  <si>
    <t>Growth-associated maintenance: Hydrolysis of 20.227 mmol ATP per gram of dry cell weight</t>
  </si>
  <si>
    <t>Maintenance</t>
  </si>
  <si>
    <t>GAM (biosynthetic + other) =</t>
  </si>
  <si>
    <t>biosynthetic costs =</t>
  </si>
  <si>
    <t>unknown GAM costs =</t>
  </si>
  <si>
    <t>datp</t>
  </si>
  <si>
    <t>cytoplasm</t>
  </si>
  <si>
    <t>C10H12N5O12P3</t>
  </si>
  <si>
    <t>ppi</t>
  </si>
  <si>
    <t>dctp</t>
  </si>
  <si>
    <t>C9H12N3O13P3</t>
  </si>
  <si>
    <t>dgtp</t>
  </si>
  <si>
    <t>C10H12N5O13P3</t>
  </si>
  <si>
    <t>dttp</t>
  </si>
  <si>
    <t>C10H13N2O14P3</t>
  </si>
  <si>
    <t>Macromolecule</t>
  </si>
  <si>
    <t>overall wt%</t>
  </si>
  <si>
    <t>mmol/gDW (Calc.)</t>
  </si>
  <si>
    <t>metabolite</t>
  </si>
  <si>
    <t>location</t>
  </si>
  <si>
    <t>type</t>
  </si>
  <si>
    <t>C</t>
  </si>
  <si>
    <t>H</t>
  </si>
  <si>
    <t>N</t>
  </si>
  <si>
    <t>O</t>
  </si>
  <si>
    <t>P</t>
  </si>
  <si>
    <t>S</t>
  </si>
  <si>
    <t>MW (mg/mmol)</t>
  </si>
  <si>
    <t>MWcorr (mg/mmol)</t>
  </si>
  <si>
    <t>g/gDW</t>
  </si>
  <si>
    <t>mmol/gDW</t>
  </si>
  <si>
    <t>ala-L</t>
  </si>
  <si>
    <t>AA</t>
  </si>
  <si>
    <t>C3H7NO2</t>
  </si>
  <si>
    <t>h2o</t>
  </si>
  <si>
    <t>arg-L</t>
  </si>
  <si>
    <t>C6H15N4O2</t>
  </si>
  <si>
    <t>asn-L</t>
  </si>
  <si>
    <t>C4H8N2O3</t>
  </si>
  <si>
    <t>asp-L</t>
  </si>
  <si>
    <t>C4H6NO4</t>
  </si>
  <si>
    <t>cys-L</t>
  </si>
  <si>
    <t>C3H7NO2S</t>
  </si>
  <si>
    <t>gln-L</t>
  </si>
  <si>
    <t>C5H10N2O3</t>
  </si>
  <si>
    <t>glu-L</t>
  </si>
  <si>
    <t>C5H8NO4</t>
  </si>
  <si>
    <t>gly</t>
  </si>
  <si>
    <t>C2H5NO2</t>
  </si>
  <si>
    <t>his-L</t>
  </si>
  <si>
    <t>C6H9N3O2</t>
  </si>
  <si>
    <t>ile-L</t>
  </si>
  <si>
    <t>C6H13NO2</t>
  </si>
  <si>
    <t>leu-L</t>
  </si>
  <si>
    <t>lys-L</t>
  </si>
  <si>
    <t>C6H15N2O2</t>
  </si>
  <si>
    <t>met-L</t>
  </si>
  <si>
    <t>C5H11NO2S</t>
  </si>
  <si>
    <t>phe-L</t>
  </si>
  <si>
    <t>C9H11NO2</t>
  </si>
  <si>
    <t>pro-L</t>
  </si>
  <si>
    <t>C5H9NO2</t>
  </si>
  <si>
    <t>ser-L</t>
  </si>
  <si>
    <t>C3H7NO3</t>
  </si>
  <si>
    <t>thr-L</t>
  </si>
  <si>
    <t>C4H9NO3</t>
  </si>
  <si>
    <t>trp-L</t>
  </si>
  <si>
    <t>C11H12N2O2</t>
  </si>
  <si>
    <t>tyr-L</t>
  </si>
  <si>
    <t>C9H11NO3</t>
  </si>
  <si>
    <t>val-L</t>
  </si>
  <si>
    <t>C5H11NO2</t>
  </si>
  <si>
    <t>ctp</t>
  </si>
  <si>
    <t>C9H12N3O14P3</t>
  </si>
  <si>
    <t>gtp</t>
  </si>
  <si>
    <t>C10H12N5O14P3</t>
  </si>
  <si>
    <t>utp</t>
  </si>
  <si>
    <t>C9H11N2O15P3</t>
  </si>
  <si>
    <t>g monomer/ g macromolecule</t>
  </si>
  <si>
    <t>g monomer/ mol macrmolecule</t>
  </si>
  <si>
    <t>Notes</t>
  </si>
  <si>
    <t>formula</t>
  </si>
  <si>
    <t>difference b/w metabolite and structural component</t>
  </si>
  <si>
    <t>total mmols material</t>
  </si>
  <si>
    <t>class</t>
  </si>
  <si>
    <t>Reactants</t>
  </si>
  <si>
    <t xml:space="preserve"> </t>
  </si>
  <si>
    <t/>
  </si>
  <si>
    <t>atp**</t>
  </si>
  <si>
    <t>carbohydrate</t>
  </si>
  <si>
    <t>C6H10O5</t>
  </si>
  <si>
    <t>none</t>
  </si>
  <si>
    <t>murein</t>
  </si>
  <si>
    <t>LPS</t>
  </si>
  <si>
    <t>lipid</t>
  </si>
  <si>
    <t>Lipids</t>
  </si>
  <si>
    <t>ptrc</t>
  </si>
  <si>
    <t>polyamine</t>
  </si>
  <si>
    <t>C4H14N2</t>
  </si>
  <si>
    <t>spmd</t>
  </si>
  <si>
    <t>C7H22N3</t>
  </si>
  <si>
    <t>cofactor</t>
  </si>
  <si>
    <t>coa</t>
  </si>
  <si>
    <t>C21H32N7O16P3S</t>
  </si>
  <si>
    <t>nad</t>
  </si>
  <si>
    <t>C21H26N7O14P2</t>
  </si>
  <si>
    <t>nadp</t>
  </si>
  <si>
    <t>C21H25N7O17P3</t>
  </si>
  <si>
    <t>fad</t>
  </si>
  <si>
    <t>C27H31N9O15P2</t>
  </si>
  <si>
    <t>thf</t>
  </si>
  <si>
    <t>C19H21N7O6</t>
  </si>
  <si>
    <t>mlthf</t>
  </si>
  <si>
    <t>C20H21N7O6</t>
  </si>
  <si>
    <t>thmpp</t>
  </si>
  <si>
    <t>C12H16N4O7P2S</t>
  </si>
  <si>
    <t>pydx5p</t>
  </si>
  <si>
    <t>C8H8NO6P</t>
  </si>
  <si>
    <t>pheme</t>
  </si>
  <si>
    <t>C39H30FeN4O4</t>
  </si>
  <si>
    <t>gthrd</t>
  </si>
  <si>
    <t>C10H16N3O6S</t>
  </si>
  <si>
    <t>adocbl</t>
  </si>
  <si>
    <t>C72H100CoN18O17P</t>
  </si>
  <si>
    <t>udcpdp</t>
  </si>
  <si>
    <t>C55H89O7P2</t>
  </si>
  <si>
    <t>10fthf</t>
  </si>
  <si>
    <t>C20H21N7O7</t>
  </si>
  <si>
    <t>amet</t>
  </si>
  <si>
    <t>C15H23N6O5S</t>
  </si>
  <si>
    <t>ribflv</t>
  </si>
  <si>
    <t>C17H20N4O6</t>
  </si>
  <si>
    <t>Inorganic ions</t>
  </si>
  <si>
    <t>k</t>
  </si>
  <si>
    <t>inorganic ions</t>
  </si>
  <si>
    <t>K</t>
  </si>
  <si>
    <t>mg2</t>
  </si>
  <si>
    <t>Mg</t>
  </si>
  <si>
    <t>ca2</t>
  </si>
  <si>
    <t>Ca</t>
  </si>
  <si>
    <t>fe2</t>
  </si>
  <si>
    <t>Fe</t>
  </si>
  <si>
    <t>fe3</t>
  </si>
  <si>
    <t>cu2</t>
  </si>
  <si>
    <t>Cu</t>
  </si>
  <si>
    <t>mn2</t>
  </si>
  <si>
    <t>Mn</t>
  </si>
  <si>
    <t>cobalt2</t>
  </si>
  <si>
    <t>Co</t>
  </si>
  <si>
    <t>zn2</t>
  </si>
  <si>
    <t>Zn</t>
  </si>
  <si>
    <t>so4</t>
  </si>
  <si>
    <t>O4S</t>
  </si>
  <si>
    <t>pi**</t>
  </si>
  <si>
    <t>HO4P</t>
  </si>
  <si>
    <t>Pigments</t>
  </si>
  <si>
    <t>bcarote</t>
  </si>
  <si>
    <t>C40H56</t>
  </si>
  <si>
    <t>maintenance</t>
  </si>
  <si>
    <t>maint</t>
  </si>
  <si>
    <t>C10H12N5O13P5</t>
  </si>
  <si>
    <t>h2o**</t>
  </si>
  <si>
    <t>RNA / maint</t>
  </si>
  <si>
    <t>AA difference / maint</t>
  </si>
  <si>
    <t xml:space="preserve">Products </t>
  </si>
  <si>
    <t>adp</t>
  </si>
  <si>
    <t>C10H12N5O10P2</t>
  </si>
  <si>
    <t>h</t>
  </si>
  <si>
    <t>sum of dNTPs</t>
  </si>
  <si>
    <t>ppi**</t>
  </si>
  <si>
    <t>HO7P2</t>
  </si>
  <si>
    <t>sum of NTPs</t>
  </si>
  <si>
    <t>sum of AA</t>
  </si>
  <si>
    <t>NT difference / dNT difference</t>
  </si>
  <si>
    <t>sum of NTPs and dNTPs</t>
  </si>
  <si>
    <t>consistency check</t>
  </si>
  <si>
    <t>difference</t>
  </si>
  <si>
    <t>reactants</t>
  </si>
  <si>
    <t>products</t>
  </si>
  <si>
    <t>Modeseed</t>
  </si>
  <si>
    <t>cpd00115</t>
  </si>
  <si>
    <t>cpd00356</t>
  </si>
  <si>
    <t>cpd00241</t>
  </si>
  <si>
    <t>cpd00357</t>
  </si>
  <si>
    <t>cpd00052</t>
  </si>
  <si>
    <t>cpd00038</t>
  </si>
  <si>
    <t>cpd00062</t>
  </si>
  <si>
    <t>cpd00012</t>
  </si>
  <si>
    <t>cpd00035</t>
  </si>
  <si>
    <t>cpd00065</t>
  </si>
  <si>
    <t>cpd00051</t>
  </si>
  <si>
    <t>cpd00132</t>
  </si>
  <si>
    <t>cpd00041</t>
  </si>
  <si>
    <t>cpd00084</t>
  </si>
  <si>
    <t>cpd00053</t>
  </si>
  <si>
    <t>cpd00023</t>
  </si>
  <si>
    <t>cpd00033</t>
  </si>
  <si>
    <t>cpd00119</t>
  </si>
  <si>
    <t>cpd00322</t>
  </si>
  <si>
    <t>cpd00107</t>
  </si>
  <si>
    <t>cpd00039</t>
  </si>
  <si>
    <t>cpd00060</t>
  </si>
  <si>
    <t>cpd00066</t>
  </si>
  <si>
    <t>cpd00129</t>
  </si>
  <si>
    <t>cpd00054</t>
  </si>
  <si>
    <t>cpd00161</t>
  </si>
  <si>
    <t>cpd00069</t>
  </si>
  <si>
    <t>cpd00156</t>
  </si>
  <si>
    <t>Modelseed</t>
  </si>
  <si>
    <t>cpd00201</t>
  </si>
  <si>
    <t xml:space="preserve">Formula </t>
  </si>
  <si>
    <t>cpd15352</t>
  </si>
  <si>
    <t>C50H70O2</t>
  </si>
  <si>
    <t>cpd00345</t>
  </si>
  <si>
    <t>C20H23N7O6</t>
  </si>
  <si>
    <t>cpd00063</t>
  </si>
  <si>
    <t>NA</t>
  </si>
  <si>
    <t>cpd00166</t>
  </si>
  <si>
    <t>cpd00099</t>
  </si>
  <si>
    <t>cpd00149</t>
  </si>
  <si>
    <t>cpd00010</t>
  </si>
  <si>
    <t>cpd00058</t>
  </si>
  <si>
    <t>cpd00015</t>
  </si>
  <si>
    <t>cpd10515</t>
  </si>
  <si>
    <t>cpd10516</t>
  </si>
  <si>
    <t>cpd00050</t>
  </si>
  <si>
    <t>C17H19N4O9P</t>
  </si>
  <si>
    <t>cpd00042</t>
  </si>
  <si>
    <t>cpd00028</t>
  </si>
  <si>
    <t>C34H30FeN4O4</t>
  </si>
  <si>
    <t>cpd00205</t>
  </si>
  <si>
    <t>cpd15500</t>
  </si>
  <si>
    <t>C51H72O2</t>
  </si>
  <si>
    <t>cpd00254</t>
  </si>
  <si>
    <t>cpd00030</t>
  </si>
  <si>
    <t>cpd00003</t>
  </si>
  <si>
    <t>C21H26O14P2</t>
  </si>
  <si>
    <t>cpd00006</t>
  </si>
  <si>
    <t>cpd00118</t>
  </si>
  <si>
    <t>cpd00016</t>
  </si>
  <si>
    <t>cpd00220</t>
  </si>
  <si>
    <t>C17H19N4O6</t>
  </si>
  <si>
    <t>cpd00017</t>
  </si>
  <si>
    <t>cpd00557</t>
  </si>
  <si>
    <t>C42H36FeN4O16</t>
  </si>
  <si>
    <t>cpd00264</t>
  </si>
  <si>
    <t>cpd00048</t>
  </si>
  <si>
    <t>cpd00087</t>
  </si>
  <si>
    <t>cpd00056</t>
  </si>
  <si>
    <t>C12H17N4O7P2S</t>
  </si>
  <si>
    <t>Cofactors, inorganic ions, soluble pool, coenzymes, etc.*</t>
  </si>
  <si>
    <t>cpd15560</t>
  </si>
  <si>
    <t>C49H74O4</t>
  </si>
  <si>
    <t>cpd00037</t>
  </si>
  <si>
    <t>C17H25N3O17P2</t>
  </si>
  <si>
    <t>cpd00034</t>
  </si>
  <si>
    <t>C81H156O17P2</t>
  </si>
  <si>
    <t>C42H82O10P</t>
  </si>
  <si>
    <t>C41H82NO8P</t>
  </si>
  <si>
    <t>Formula</t>
  </si>
  <si>
    <t>C176H303N2O100P4</t>
  </si>
  <si>
    <t>C55H90O7P2</t>
  </si>
  <si>
    <t>C80H125O42R</t>
  </si>
  <si>
    <t>Mass (g/mol)</t>
  </si>
  <si>
    <t>[1] Avantika A. Shastri and John A. Morgan. Flux Balance Analysis of Photoautotrophic Metabolism. Biotechnol. Prog. 2005, 21, 1617-1626</t>
  </si>
  <si>
    <t>cpd11493</t>
  </si>
  <si>
    <t>C11H22N2O7PRS</t>
  </si>
  <si>
    <t>Biomass composition (g/gDW) heterotrophic cyanobacteria 1</t>
  </si>
  <si>
    <t>Biomass composition (g/DW) autotrophic cyanobacteria 2</t>
  </si>
  <si>
    <t>Cofactors and polyamines</t>
  </si>
  <si>
    <t>Cell Wall</t>
  </si>
  <si>
    <t>cpd00104</t>
  </si>
  <si>
    <t>C10H15N2O3S</t>
  </si>
  <si>
    <t>Cobinamide</t>
  </si>
  <si>
    <t>cpd03422</t>
  </si>
  <si>
    <t>C48H72CoN11O8</t>
  </si>
  <si>
    <t>cpd01997</t>
  </si>
  <si>
    <t>C9H10N2</t>
  </si>
  <si>
    <t>Dimethylbenzimidazole[c0]</t>
  </si>
  <si>
    <t>Reference</t>
  </si>
  <si>
    <t>Nogales et al. 2011</t>
  </si>
  <si>
    <t>Is presence change from Kbase generic Gram - biomass?</t>
  </si>
  <si>
    <t>No</t>
  </si>
  <si>
    <t>Beta-Carotene</t>
  </si>
  <si>
    <t>Glycogen</t>
  </si>
  <si>
    <t>cpd00155</t>
  </si>
  <si>
    <t>C24H42O21</t>
  </si>
  <si>
    <t>cpd01420</t>
  </si>
  <si>
    <t>Name</t>
  </si>
  <si>
    <t>*These were not changed from Kbase template as lipids have not yet been measured in the cell or any others from the genus</t>
  </si>
  <si>
    <t>concentration mg/g (if using to calculate)</t>
  </si>
  <si>
    <t>[2] Nogales et al. Detailing the optimality of photosynthesis in cyanobacteria through systems biology analysis. PNAS. 2011, 109(7)</t>
  </si>
  <si>
    <t>Protein  (0.51 in [1])</t>
  </si>
  <si>
    <t>DNA (0.031 in [1])</t>
  </si>
  <si>
    <t>RNA (0.17 in [1])</t>
  </si>
  <si>
    <t>Soluble pool (0.029  in [1])</t>
  </si>
  <si>
    <t>Peptidoglycan</t>
  </si>
  <si>
    <t xml:space="preserve">[3] Physiology of the bacterial cell : a molecular approach. Neihardt FC, Ingraham JL, Schaechter M. Sinauer Associates, Sunderland, Mass. 1990
</t>
  </si>
  <si>
    <t>Peptidoglycan (0.025 in [3])</t>
  </si>
  <si>
    <t>Glycogen (0.0341 in [2])</t>
  </si>
  <si>
    <t>LPS (0.034 in [3])</t>
  </si>
  <si>
    <t>cytoplasm (technically periplasm)</t>
  </si>
  <si>
    <t>Calculation from [2]</t>
  </si>
  <si>
    <t>Added to biomass function, already existed in model</t>
  </si>
  <si>
    <t xml:space="preserve">Added </t>
  </si>
  <si>
    <t>cpd15666</t>
  </si>
  <si>
    <t>C40H63N8O21R</t>
  </si>
  <si>
    <t>C80H125N16O42R</t>
  </si>
  <si>
    <t>Carbohydrate</t>
  </si>
  <si>
    <t>Cell wall</t>
  </si>
  <si>
    <t>Calculation done using Kbase and cell wall total wt% of 6</t>
  </si>
  <si>
    <t>Calculation done using complete coding sequence 'proteome' information</t>
  </si>
  <si>
    <t>See Amino Acids and Protein page for detail</t>
  </si>
  <si>
    <t>Calculation done using complete sequence</t>
  </si>
  <si>
    <t>See DNA and RNA page for detail</t>
  </si>
  <si>
    <t xml:space="preserve">Note: this is the original biomass function produced via Kbase </t>
  </si>
  <si>
    <t>cpd00001</t>
  </si>
  <si>
    <t>cpd00002</t>
  </si>
  <si>
    <t>cpd00067</t>
  </si>
  <si>
    <t>[4] Toyoshima, Toya, and Shimizu. Flux balance analysis of cyanobacteria reveals selective use of photosynthetic electron transport components under different spectral light conditions. Photosynthesis research. 2020, 143, 31-43.</t>
  </si>
  <si>
    <t>Pigments (0.00323 in [4])</t>
  </si>
  <si>
    <t>Toyoshima et al. 2020, Nogales et al. 2011, presence noted in Azua-Bustos et al. 2013 but not measured</t>
  </si>
  <si>
    <t>mmol/gDW calculated</t>
  </si>
  <si>
    <t>mmol/gDW [2]</t>
  </si>
  <si>
    <t>FMN</t>
  </si>
  <si>
    <t>Menaquinone</t>
  </si>
  <si>
    <t>Siroheme</t>
  </si>
  <si>
    <t>ACP</t>
  </si>
  <si>
    <t>BIOT</t>
  </si>
  <si>
    <t>apo-ACP</t>
  </si>
  <si>
    <t>cpd12370</t>
  </si>
  <si>
    <t>HOR</t>
  </si>
  <si>
    <t>Cl-</t>
  </si>
  <si>
    <t>Sum peptidoglycan</t>
  </si>
  <si>
    <t>Total sum</t>
  </si>
  <si>
    <t>Divided evenly by mmol (calculated in Kbase)</t>
  </si>
  <si>
    <t>soluable pool and ions have not</t>
  </si>
  <si>
    <r>
      <t xml:space="preserve">been measured in </t>
    </r>
    <r>
      <rPr>
        <i/>
        <sz val="10"/>
        <color theme="1"/>
        <rFont val="Arial"/>
        <family val="2"/>
      </rPr>
      <t xml:space="preserve">G. dulcis </t>
    </r>
  </si>
  <si>
    <r>
      <t xml:space="preserve">Beta-carotene has been observed but not measured in </t>
    </r>
    <r>
      <rPr>
        <i/>
        <sz val="10"/>
        <color theme="1"/>
        <rFont val="Arial"/>
        <family val="2"/>
      </rPr>
      <t>G. dulcis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</si>
</sst>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0.00000"/>
    <numFmt numFmtId="165" formatCode="0.0"/>
    <numFmt numFmtId="166" formatCode="0.000000"/>
    <numFmt numFmtId="167" formatCode="0.000"/>
    <numFmt numFmtId="168" formatCode="0.0000"/>
    <numFmt numFmtId="169" formatCode="0.0000000000"/>
    <numFmt numFmtId="170" formatCode="0.000E+00"/>
    <numFmt numFmtId="171" formatCode="0.00000000000"/>
    <numFmt numFmtId="172" formatCode="0.0000000000000000"/>
    <numFmt numFmtId="175" formatCode="0.0000000"/>
    <numFmt numFmtId="178" formatCode="0.000000000000"/>
    <numFmt numFmtId="179" formatCode="0.0000000000000"/>
    <numFmt numFmtId="180" formatCode="0.00000000000000"/>
    <numFmt numFmtId="181" formatCode="0.000000000000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rgb="FF24292F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新細明體"/>
      <family val="1"/>
      <charset val="136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i/>
      <sz val="10"/>
      <color theme="1"/>
      <name val="Arial"/>
      <family val="2"/>
    </font>
    <font>
      <u val="double"/>
      <sz val="10"/>
      <color theme="1"/>
      <name val="Arial"/>
      <family val="2"/>
    </font>
    <font>
      <u val="double"/>
      <sz val="11"/>
      <color theme="1"/>
      <name val="Calibri"/>
      <family val="2"/>
      <scheme val="minor"/>
    </font>
    <font>
      <u val="double"/>
      <sz val="11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B56DFD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0" fontId="6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</cellStyleXfs>
  <cellXfs count="27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Fill="1"/>
    <xf numFmtId="0" fontId="3" fillId="0" borderId="0" xfId="0" applyFont="1" applyFill="1"/>
    <xf numFmtId="2" fontId="0" fillId="0" borderId="0" xfId="0" applyNumberFormat="1"/>
    <xf numFmtId="165" fontId="0" fillId="0" borderId="0" xfId="0" applyNumberFormat="1"/>
    <xf numFmtId="0" fontId="7" fillId="0" borderId="0" xfId="1" applyFont="1"/>
    <xf numFmtId="0" fontId="8" fillId="0" borderId="0" xfId="0" applyFont="1" applyFill="1" applyAlignment="1">
      <alignment horizontal="left" vertical="center"/>
    </xf>
    <xf numFmtId="0" fontId="8" fillId="0" borderId="0" xfId="0" applyFont="1" applyFill="1"/>
    <xf numFmtId="0" fontId="2" fillId="2" borderId="0" xfId="0" applyFont="1" applyFill="1"/>
    <xf numFmtId="164" fontId="3" fillId="0" borderId="0" xfId="0" applyNumberFormat="1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66" fontId="0" fillId="0" borderId="5" xfId="0" applyNumberFormat="1" applyFont="1" applyBorder="1"/>
    <xf numFmtId="167" fontId="0" fillId="0" borderId="7" xfId="0" applyNumberFormat="1" applyFont="1" applyFill="1" applyBorder="1"/>
    <xf numFmtId="0" fontId="0" fillId="0" borderId="7" xfId="0" applyFont="1" applyBorder="1"/>
    <xf numFmtId="167" fontId="0" fillId="0" borderId="9" xfId="0" applyNumberFormat="1" applyFont="1" applyBorder="1"/>
    <xf numFmtId="0" fontId="10" fillId="0" borderId="4" xfId="0" applyFont="1" applyBorder="1" applyAlignment="1">
      <alignment horizontal="left"/>
    </xf>
    <xf numFmtId="0" fontId="0" fillId="0" borderId="6" xfId="0" applyFont="1" applyFill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0" xfId="0" applyFill="1"/>
    <xf numFmtId="0" fontId="12" fillId="0" borderId="0" xfId="3" applyFill="1" applyBorder="1"/>
    <xf numFmtId="0" fontId="12" fillId="0" borderId="0" xfId="3" applyNumberFormat="1" applyFill="1" applyBorder="1"/>
    <xf numFmtId="0" fontId="12" fillId="0" borderId="0" xfId="3" applyNumberFormat="1" applyFill="1" applyBorder="1" applyAlignment="1">
      <alignment horizontal="center"/>
    </xf>
    <xf numFmtId="169" fontId="3" fillId="0" borderId="0" xfId="0" applyNumberFormat="1" applyFont="1" applyFill="1"/>
    <xf numFmtId="169" fontId="2" fillId="2" borderId="0" xfId="0" applyNumberFormat="1" applyFont="1" applyFill="1"/>
    <xf numFmtId="167" fontId="0" fillId="0" borderId="0" xfId="0" applyNumberFormat="1"/>
    <xf numFmtId="0" fontId="1" fillId="0" borderId="0" xfId="0" applyFont="1" applyAlignment="1">
      <alignment horizontal="right"/>
    </xf>
    <xf numFmtId="166" fontId="3" fillId="3" borderId="14" xfId="0" applyNumberFormat="1" applyFont="1" applyFill="1" applyBorder="1"/>
    <xf numFmtId="0" fontId="3" fillId="3" borderId="15" xfId="0" applyFont="1" applyFill="1" applyBorder="1"/>
    <xf numFmtId="166" fontId="3" fillId="3" borderId="15" xfId="0" applyNumberFormat="1" applyFont="1" applyFill="1" applyBorder="1"/>
    <xf numFmtId="167" fontId="3" fillId="3" borderId="15" xfId="0" applyNumberFormat="1" applyFont="1" applyFill="1" applyBorder="1"/>
    <xf numFmtId="167" fontId="3" fillId="3" borderId="16" xfId="0" applyNumberFormat="1" applyFont="1" applyFill="1" applyBorder="1"/>
    <xf numFmtId="0" fontId="3" fillId="0" borderId="13" xfId="0" applyFont="1" applyBorder="1"/>
    <xf numFmtId="169" fontId="3" fillId="2" borderId="14" xfId="0" applyNumberFormat="1" applyFont="1" applyFill="1" applyBorder="1"/>
    <xf numFmtId="169" fontId="3" fillId="2" borderId="15" xfId="0" applyNumberFormat="1" applyFont="1" applyFill="1" applyBorder="1"/>
    <xf numFmtId="169" fontId="3" fillId="2" borderId="16" xfId="0" applyNumberFormat="1" applyFont="1" applyFill="1" applyBorder="1"/>
    <xf numFmtId="167" fontId="3" fillId="2" borderId="14" xfId="0" applyNumberFormat="1" applyFont="1" applyFill="1" applyBorder="1"/>
    <xf numFmtId="167" fontId="3" fillId="2" borderId="15" xfId="0" applyNumberFormat="1" applyFont="1" applyFill="1" applyBorder="1"/>
    <xf numFmtId="167" fontId="3" fillId="2" borderId="16" xfId="0" applyNumberFormat="1" applyFont="1" applyFill="1" applyBorder="1"/>
    <xf numFmtId="0" fontId="0" fillId="0" borderId="0" xfId="0" applyBorder="1"/>
    <xf numFmtId="0" fontId="0" fillId="0" borderId="0" xfId="0" applyFill="1" applyBorder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7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3" fillId="6" borderId="0" xfId="0" applyFont="1" applyFill="1"/>
    <xf numFmtId="0" fontId="3" fillId="15" borderId="0" xfId="0" applyFont="1" applyFill="1"/>
    <xf numFmtId="0" fontId="0" fillId="12" borderId="0" xfId="0" applyFill="1"/>
    <xf numFmtId="0" fontId="0" fillId="8" borderId="0" xfId="0" applyFill="1"/>
    <xf numFmtId="0" fontId="3" fillId="0" borderId="0" xfId="0" applyFont="1" applyBorder="1"/>
    <xf numFmtId="0" fontId="8" fillId="6" borderId="0" xfId="0" applyFont="1" applyFill="1" applyAlignment="1">
      <alignment horizontal="left" vertical="center"/>
    </xf>
    <xf numFmtId="0" fontId="12" fillId="0" borderId="0" xfId="4" applyFill="1" applyBorder="1" applyAlignment="1">
      <alignment horizontal="center" vertical="center" wrapText="1"/>
    </xf>
    <xf numFmtId="166" fontId="12" fillId="0" borderId="0" xfId="4" applyNumberFormat="1" applyFont="1" applyFill="1" applyBorder="1" applyAlignment="1">
      <alignment horizontal="center" vertical="center" wrapText="1"/>
    </xf>
    <xf numFmtId="0" fontId="13" fillId="0" borderId="0" xfId="4" applyFont="1" applyFill="1" applyBorder="1" applyAlignment="1">
      <alignment horizontal="center" vertical="center" wrapText="1"/>
    </xf>
    <xf numFmtId="167" fontId="12" fillId="0" borderId="0" xfId="4" applyNumberFormat="1" applyFill="1" applyBorder="1" applyAlignment="1">
      <alignment horizontal="center" vertical="center" wrapText="1"/>
    </xf>
    <xf numFmtId="0" fontId="11" fillId="0" borderId="0" xfId="0" applyFont="1" applyFill="1" applyBorder="1"/>
    <xf numFmtId="0" fontId="3" fillId="0" borderId="0" xfId="0" applyFont="1" applyFill="1" applyBorder="1"/>
    <xf numFmtId="0" fontId="12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66" fontId="3" fillId="0" borderId="10" xfId="0" applyNumberFormat="1" applyFont="1" applyBorder="1" applyAlignment="1">
      <alignment horizontal="center" vertical="center" wrapText="1"/>
    </xf>
    <xf numFmtId="167" fontId="3" fillId="0" borderId="10" xfId="0" applyNumberFormat="1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66" fontId="3" fillId="0" borderId="0" xfId="0" applyNumberFormat="1" applyFont="1" applyBorder="1" applyAlignment="1">
      <alignment horizontal="center" vertical="center" wrapText="1"/>
    </xf>
    <xf numFmtId="167" fontId="3" fillId="0" borderId="0" xfId="0" applyNumberFormat="1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11" borderId="6" xfId="0" applyFont="1" applyFill="1" applyBorder="1"/>
    <xf numFmtId="0" fontId="3" fillId="11" borderId="0" xfId="0" applyFont="1" applyFill="1" applyBorder="1"/>
    <xf numFmtId="172" fontId="3" fillId="11" borderId="0" xfId="0" applyNumberFormat="1" applyFont="1" applyFill="1" applyBorder="1"/>
    <xf numFmtId="0" fontId="12" fillId="11" borderId="0" xfId="0" applyFont="1" applyFill="1" applyBorder="1"/>
    <xf numFmtId="0" fontId="12" fillId="11" borderId="0" xfId="0" applyFont="1" applyFill="1" applyBorder="1" applyAlignment="1">
      <alignment horizontal="center"/>
    </xf>
    <xf numFmtId="167" fontId="3" fillId="11" borderId="0" xfId="0" applyNumberFormat="1" applyFont="1" applyFill="1" applyBorder="1"/>
    <xf numFmtId="0" fontId="3" fillId="11" borderId="7" xfId="0" applyFont="1" applyFill="1" applyBorder="1"/>
    <xf numFmtId="9" fontId="12" fillId="11" borderId="0" xfId="0" quotePrefix="1" applyNumberFormat="1" applyFont="1" applyFill="1" applyBorder="1"/>
    <xf numFmtId="0" fontId="14" fillId="0" borderId="12" xfId="0" applyFont="1" applyFill="1" applyBorder="1"/>
    <xf numFmtId="0" fontId="3" fillId="0" borderId="12" xfId="0" applyFont="1" applyFill="1" applyBorder="1"/>
    <xf numFmtId="167" fontId="3" fillId="0" borderId="12" xfId="0" applyNumberFormat="1" applyFont="1" applyFill="1" applyBorder="1"/>
    <xf numFmtId="170" fontId="3" fillId="0" borderId="12" xfId="0" applyNumberFormat="1" applyFont="1" applyFill="1" applyBorder="1"/>
    <xf numFmtId="167" fontId="12" fillId="11" borderId="0" xfId="0" applyNumberFormat="1" applyFont="1" applyFill="1" applyBorder="1"/>
    <xf numFmtId="10" fontId="3" fillId="11" borderId="7" xfId="0" applyNumberFormat="1" applyFont="1" applyFill="1" applyBorder="1"/>
    <xf numFmtId="0" fontId="3" fillId="16" borderId="6" xfId="0" applyFont="1" applyFill="1" applyBorder="1" applyAlignment="1"/>
    <xf numFmtId="0" fontId="3" fillId="16" borderId="0" xfId="0" applyFont="1" applyFill="1" applyBorder="1"/>
    <xf numFmtId="172" fontId="3" fillId="16" borderId="0" xfId="0" applyNumberFormat="1" applyFont="1" applyFill="1" applyBorder="1"/>
    <xf numFmtId="0" fontId="3" fillId="16" borderId="0" xfId="0" applyNumberFormat="1" applyFont="1" applyFill="1" applyBorder="1"/>
    <xf numFmtId="0" fontId="3" fillId="16" borderId="0" xfId="0" applyNumberFormat="1" applyFont="1" applyFill="1" applyBorder="1" applyAlignment="1">
      <alignment horizontal="center"/>
    </xf>
    <xf numFmtId="0" fontId="12" fillId="16" borderId="0" xfId="0" applyFont="1" applyFill="1" applyBorder="1"/>
    <xf numFmtId="168" fontId="3" fillId="16" borderId="0" xfId="0" applyNumberFormat="1" applyFont="1" applyFill="1" applyBorder="1"/>
    <xf numFmtId="10" fontId="3" fillId="16" borderId="7" xfId="0" applyNumberFormat="1" applyFont="1" applyFill="1" applyBorder="1"/>
    <xf numFmtId="9" fontId="12" fillId="16" borderId="0" xfId="0" quotePrefix="1" applyNumberFormat="1" applyFont="1" applyFill="1" applyBorder="1"/>
    <xf numFmtId="168" fontId="12" fillId="16" borderId="0" xfId="0" applyNumberFormat="1" applyFont="1" applyFill="1" applyBorder="1"/>
    <xf numFmtId="0" fontId="3" fillId="5" borderId="6" xfId="0" applyFont="1" applyFill="1" applyBorder="1" applyAlignment="1"/>
    <xf numFmtId="0" fontId="3" fillId="5" borderId="0" xfId="0" applyFont="1" applyFill="1" applyBorder="1"/>
    <xf numFmtId="172" fontId="3" fillId="5" borderId="0" xfId="0" applyNumberFormat="1" applyFont="1" applyFill="1" applyBorder="1"/>
    <xf numFmtId="0" fontId="3" fillId="5" borderId="0" xfId="0" applyNumberFormat="1" applyFont="1" applyFill="1" applyBorder="1"/>
    <xf numFmtId="0" fontId="3" fillId="5" borderId="0" xfId="0" applyNumberFormat="1" applyFont="1" applyFill="1" applyBorder="1" applyAlignment="1">
      <alignment horizontal="center"/>
    </xf>
    <xf numFmtId="0" fontId="12" fillId="5" borderId="0" xfId="0" applyFont="1" applyFill="1" applyBorder="1"/>
    <xf numFmtId="168" fontId="3" fillId="5" borderId="0" xfId="0" applyNumberFormat="1" applyFont="1" applyFill="1" applyBorder="1"/>
    <xf numFmtId="10" fontId="3" fillId="5" borderId="7" xfId="0" applyNumberFormat="1" applyFont="1" applyFill="1" applyBorder="1"/>
    <xf numFmtId="168" fontId="12" fillId="5" borderId="0" xfId="0" applyNumberFormat="1" applyFont="1" applyFill="1" applyBorder="1"/>
    <xf numFmtId="0" fontId="3" fillId="13" borderId="6" xfId="0" applyFont="1" applyFill="1" applyBorder="1" applyAlignment="1">
      <alignment horizontal="right"/>
    </xf>
    <xf numFmtId="0" fontId="3" fillId="13" borderId="0" xfId="0" applyFont="1" applyFill="1" applyBorder="1"/>
    <xf numFmtId="172" fontId="3" fillId="13" borderId="0" xfId="0" applyNumberFormat="1" applyFont="1" applyFill="1" applyBorder="1"/>
    <xf numFmtId="0" fontId="3" fillId="13" borderId="0" xfId="0" applyNumberFormat="1" applyFont="1" applyFill="1" applyBorder="1" applyAlignment="1">
      <alignment horizontal="center"/>
    </xf>
    <xf numFmtId="0" fontId="3" fillId="13" borderId="0" xfId="0" applyFont="1" applyFill="1" applyBorder="1" applyAlignment="1">
      <alignment horizontal="center"/>
    </xf>
    <xf numFmtId="164" fontId="3" fillId="13" borderId="0" xfId="0" applyNumberFormat="1" applyFont="1" applyFill="1" applyBorder="1" applyAlignment="1">
      <alignment horizontal="right"/>
    </xf>
    <xf numFmtId="10" fontId="3" fillId="13" borderId="0" xfId="0" applyNumberFormat="1" applyFont="1" applyFill="1" applyBorder="1" applyAlignment="1">
      <alignment horizontal="right"/>
    </xf>
    <xf numFmtId="0" fontId="12" fillId="13" borderId="0" xfId="0" applyFont="1" applyFill="1" applyBorder="1"/>
    <xf numFmtId="10" fontId="3" fillId="0" borderId="0" xfId="0" applyNumberFormat="1" applyFont="1" applyFill="1" applyBorder="1"/>
    <xf numFmtId="0" fontId="15" fillId="13" borderId="0" xfId="0" applyFont="1" applyFill="1" applyBorder="1"/>
    <xf numFmtId="164" fontId="3" fillId="13" borderId="0" xfId="0" applyNumberFormat="1" applyFont="1" applyFill="1" applyBorder="1" applyAlignment="1"/>
    <xf numFmtId="167" fontId="3" fillId="13" borderId="7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10" fontId="3" fillId="0" borderId="0" xfId="0" applyNumberFormat="1" applyFont="1" applyFill="1" applyBorder="1" applyAlignment="1">
      <alignment horizontal="right"/>
    </xf>
    <xf numFmtId="0" fontId="3" fillId="13" borderId="0" xfId="0" applyNumberFormat="1" applyFont="1" applyFill="1" applyBorder="1"/>
    <xf numFmtId="10" fontId="3" fillId="13" borderId="7" xfId="0" applyNumberFormat="1" applyFont="1" applyFill="1" applyBorder="1"/>
    <xf numFmtId="0" fontId="3" fillId="12" borderId="6" xfId="0" applyFont="1" applyFill="1" applyBorder="1" applyAlignment="1">
      <alignment horizontal="right"/>
    </xf>
    <xf numFmtId="0" fontId="3" fillId="12" borderId="0" xfId="0" applyFont="1" applyFill="1" applyBorder="1"/>
    <xf numFmtId="172" fontId="3" fillId="12" borderId="0" xfId="0" applyNumberFormat="1" applyFont="1" applyFill="1" applyBorder="1"/>
    <xf numFmtId="0" fontId="3" fillId="12" borderId="0" xfId="0" applyNumberFormat="1" applyFont="1" applyFill="1" applyBorder="1" applyAlignment="1">
      <alignment horizontal="center"/>
    </xf>
    <xf numFmtId="0" fontId="3" fillId="12" borderId="0" xfId="0" applyFont="1" applyFill="1" applyBorder="1" applyAlignment="1">
      <alignment horizontal="center"/>
    </xf>
    <xf numFmtId="168" fontId="3" fillId="12" borderId="0" xfId="0" applyNumberFormat="1" applyFont="1" applyFill="1" applyBorder="1" applyAlignment="1">
      <alignment horizontal="right"/>
    </xf>
    <xf numFmtId="10" fontId="3" fillId="12" borderId="0" xfId="0" applyNumberFormat="1" applyFont="1" applyFill="1" applyBorder="1" applyAlignment="1">
      <alignment horizontal="right"/>
    </xf>
    <xf numFmtId="0" fontId="12" fillId="12" borderId="0" xfId="0" applyFont="1" applyFill="1" applyBorder="1"/>
    <xf numFmtId="0" fontId="3" fillId="12" borderId="0" xfId="0" applyNumberFormat="1" applyFont="1" applyFill="1" applyBorder="1"/>
    <xf numFmtId="0" fontId="12" fillId="9" borderId="6" xfId="0" applyFont="1" applyFill="1" applyBorder="1" applyAlignment="1"/>
    <xf numFmtId="0" fontId="3" fillId="9" borderId="0" xfId="0" applyFont="1" applyFill="1" applyBorder="1"/>
    <xf numFmtId="172" fontId="3" fillId="9" borderId="0" xfId="0" applyNumberFormat="1" applyFont="1" applyFill="1" applyBorder="1"/>
    <xf numFmtId="0" fontId="3" fillId="9" borderId="0" xfId="0" applyFont="1" applyFill="1" applyBorder="1" applyAlignment="1">
      <alignment horizontal="center"/>
    </xf>
    <xf numFmtId="10" fontId="3" fillId="9" borderId="0" xfId="0" applyNumberFormat="1" applyFont="1" applyFill="1" applyBorder="1" applyAlignment="1">
      <alignment horizontal="right"/>
    </xf>
    <xf numFmtId="0" fontId="12" fillId="9" borderId="0" xfId="0" applyFont="1" applyFill="1" applyBorder="1"/>
    <xf numFmtId="0" fontId="3" fillId="0" borderId="0" xfId="0" applyFont="1" applyFill="1" applyBorder="1" applyAlignment="1">
      <alignment horizontal="right"/>
    </xf>
    <xf numFmtId="0" fontId="3" fillId="15" borderId="6" xfId="0" applyFont="1" applyFill="1" applyBorder="1"/>
    <xf numFmtId="0" fontId="3" fillId="15" borderId="0" xfId="0" applyFont="1" applyFill="1" applyBorder="1"/>
    <xf numFmtId="0" fontId="15" fillId="15" borderId="0" xfId="0" applyFont="1" applyFill="1" applyBorder="1"/>
    <xf numFmtId="0" fontId="3" fillId="15" borderId="0" xfId="0" applyNumberFormat="1" applyFont="1" applyFill="1" applyBorder="1"/>
    <xf numFmtId="0" fontId="3" fillId="15" borderId="0" xfId="0" applyNumberFormat="1" applyFont="1" applyFill="1" applyBorder="1" applyAlignment="1">
      <alignment horizontal="center"/>
    </xf>
    <xf numFmtId="167" fontId="3" fillId="15" borderId="0" xfId="0" applyNumberFormat="1" applyFont="1" applyFill="1" applyBorder="1"/>
    <xf numFmtId="0" fontId="12" fillId="15" borderId="0" xfId="0" applyFont="1" applyFill="1" applyBorder="1"/>
    <xf numFmtId="0" fontId="3" fillId="15" borderId="7" xfId="0" applyFont="1" applyFill="1" applyBorder="1"/>
    <xf numFmtId="0" fontId="3" fillId="0" borderId="6" xfId="0" applyFont="1" applyFill="1" applyBorder="1"/>
    <xf numFmtId="164" fontId="3" fillId="0" borderId="0" xfId="0" applyNumberFormat="1" applyFont="1" applyFill="1" applyBorder="1"/>
    <xf numFmtId="0" fontId="3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167" fontId="3" fillId="0" borderId="0" xfId="0" applyNumberFormat="1" applyFont="1" applyFill="1" applyBorder="1"/>
    <xf numFmtId="0" fontId="12" fillId="0" borderId="0" xfId="0" applyFont="1" applyFill="1" applyBorder="1"/>
    <xf numFmtId="0" fontId="3" fillId="0" borderId="7" xfId="0" applyFont="1" applyFill="1" applyBorder="1"/>
    <xf numFmtId="0" fontId="14" fillId="0" borderId="6" xfId="0" applyFont="1" applyFill="1" applyBorder="1"/>
    <xf numFmtId="0" fontId="3" fillId="15" borderId="0" xfId="0" applyFont="1" applyFill="1" applyBorder="1" applyAlignment="1">
      <alignment horizontal="center"/>
    </xf>
    <xf numFmtId="0" fontId="3" fillId="15" borderId="8" xfId="0" applyFont="1" applyFill="1" applyBorder="1"/>
    <xf numFmtId="0" fontId="3" fillId="15" borderId="11" xfId="0" applyFont="1" applyFill="1" applyBorder="1"/>
    <xf numFmtId="0" fontId="3" fillId="15" borderId="11" xfId="0" applyFont="1" applyFill="1" applyBorder="1" applyAlignment="1">
      <alignment horizontal="center"/>
    </xf>
    <xf numFmtId="167" fontId="3" fillId="15" borderId="11" xfId="0" applyNumberFormat="1" applyFont="1" applyFill="1" applyBorder="1"/>
    <xf numFmtId="0" fontId="12" fillId="15" borderId="11" xfId="0" applyFont="1" applyFill="1" applyBorder="1"/>
    <xf numFmtId="0" fontId="3" fillId="15" borderId="9" xfId="0" applyFont="1" applyFill="1" applyBorder="1"/>
    <xf numFmtId="0" fontId="3" fillId="0" borderId="4" xfId="0" applyFont="1" applyBorder="1"/>
    <xf numFmtId="0" fontId="12" fillId="0" borderId="10" xfId="0" applyFont="1" applyBorder="1"/>
    <xf numFmtId="166" fontId="3" fillId="0" borderId="5" xfId="0" applyNumberFormat="1" applyFont="1" applyBorder="1"/>
    <xf numFmtId="166" fontId="3" fillId="0" borderId="0" xfId="0" applyNumberFormat="1" applyFont="1" applyBorder="1"/>
    <xf numFmtId="0" fontId="3" fillId="0" borderId="6" xfId="0" applyFont="1" applyBorder="1"/>
    <xf numFmtId="167" fontId="3" fillId="0" borderId="7" xfId="0" applyNumberFormat="1" applyFont="1" applyFill="1" applyBorder="1"/>
    <xf numFmtId="0" fontId="3" fillId="0" borderId="0" xfId="0" applyFont="1" applyBorder="1" applyAlignment="1">
      <alignment horizontal="right"/>
    </xf>
    <xf numFmtId="0" fontId="3" fillId="0" borderId="7" xfId="0" applyFont="1" applyBorder="1"/>
    <xf numFmtId="0" fontId="3" fillId="0" borderId="8" xfId="0" applyFont="1" applyBorder="1"/>
    <xf numFmtId="0" fontId="3" fillId="0" borderId="11" xfId="0" applyFont="1" applyBorder="1" applyAlignment="1">
      <alignment horizontal="right"/>
    </xf>
    <xf numFmtId="167" fontId="3" fillId="0" borderId="9" xfId="0" applyNumberFormat="1" applyFont="1" applyBorder="1"/>
    <xf numFmtId="167" fontId="3" fillId="0" borderId="0" xfId="0" applyNumberFormat="1" applyFont="1" applyBorder="1"/>
    <xf numFmtId="0" fontId="12" fillId="14" borderId="6" xfId="0" applyFont="1" applyFill="1" applyBorder="1" applyAlignment="1"/>
    <xf numFmtId="0" fontId="12" fillId="14" borderId="0" xfId="0" applyFont="1" applyFill="1" applyBorder="1"/>
    <xf numFmtId="0" fontId="3" fillId="14" borderId="0" xfId="0" applyFont="1" applyFill="1" applyBorder="1"/>
    <xf numFmtId="172" fontId="3" fillId="14" borderId="0" xfId="0" applyNumberFormat="1" applyFont="1" applyFill="1" applyBorder="1"/>
    <xf numFmtId="0" fontId="3" fillId="14" borderId="0" xfId="0" applyFont="1" applyFill="1" applyBorder="1" applyAlignment="1">
      <alignment horizontal="center"/>
    </xf>
    <xf numFmtId="10" fontId="3" fillId="14" borderId="0" xfId="0" applyNumberFormat="1" applyFont="1" applyFill="1" applyBorder="1" applyAlignment="1">
      <alignment horizontal="right"/>
    </xf>
    <xf numFmtId="0" fontId="12" fillId="6" borderId="0" xfId="0" applyFont="1" applyFill="1" applyBorder="1"/>
    <xf numFmtId="0" fontId="3" fillId="6" borderId="0" xfId="0" applyFont="1" applyFill="1" applyBorder="1"/>
    <xf numFmtId="0" fontId="3" fillId="6" borderId="0" xfId="0" applyFont="1" applyFill="1" applyBorder="1" applyAlignment="1">
      <alignment horizontal="center"/>
    </xf>
    <xf numFmtId="10" fontId="3" fillId="6" borderId="0" xfId="0" applyNumberFormat="1" applyFont="1" applyFill="1" applyBorder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78" fontId="3" fillId="0" borderId="0" xfId="0" applyNumberFormat="1" applyFont="1" applyFill="1"/>
    <xf numFmtId="0" fontId="12" fillId="17" borderId="0" xfId="0" applyFont="1" applyFill="1" applyBorder="1"/>
    <xf numFmtId="0" fontId="3" fillId="17" borderId="0" xfId="0" applyFont="1" applyFill="1" applyBorder="1"/>
    <xf numFmtId="172" fontId="3" fillId="17" borderId="0" xfId="0" applyNumberFormat="1" applyFont="1" applyFill="1" applyBorder="1"/>
    <xf numFmtId="0" fontId="3" fillId="17" borderId="0" xfId="0" applyFont="1" applyFill="1"/>
    <xf numFmtId="0" fontId="3" fillId="17" borderId="0" xfId="0" applyFont="1" applyFill="1" applyBorder="1" applyAlignment="1">
      <alignment horizontal="center"/>
    </xf>
    <xf numFmtId="10" fontId="3" fillId="17" borderId="0" xfId="0" applyNumberFormat="1" applyFont="1" applyFill="1" applyBorder="1" applyAlignment="1">
      <alignment horizontal="right"/>
    </xf>
    <xf numFmtId="0" fontId="0" fillId="17" borderId="0" xfId="0" applyFill="1"/>
    <xf numFmtId="0" fontId="3" fillId="6" borderId="0" xfId="0" applyNumberFormat="1" applyFont="1" applyFill="1" applyBorder="1"/>
    <xf numFmtId="0" fontId="3" fillId="11" borderId="17" xfId="0" applyFont="1" applyFill="1" applyBorder="1"/>
    <xf numFmtId="0" fontId="3" fillId="11" borderId="18" xfId="0" applyFont="1" applyFill="1" applyBorder="1"/>
    <xf numFmtId="0" fontId="3" fillId="11" borderId="19" xfId="0" applyFont="1" applyFill="1" applyBorder="1"/>
    <xf numFmtId="0" fontId="3" fillId="11" borderId="20" xfId="0" applyFont="1" applyFill="1" applyBorder="1"/>
    <xf numFmtId="172" fontId="3" fillId="0" borderId="0" xfId="0" applyNumberFormat="1" applyFont="1" applyFill="1" applyBorder="1"/>
    <xf numFmtId="0" fontId="3" fillId="11" borderId="23" xfId="0" applyFont="1" applyFill="1" applyBorder="1"/>
    <xf numFmtId="0" fontId="3" fillId="11" borderId="24" xfId="0" applyFont="1" applyFill="1" applyBorder="1"/>
    <xf numFmtId="0" fontId="3" fillId="16" borderId="25" xfId="0" applyFont="1" applyFill="1" applyBorder="1" applyAlignment="1"/>
    <xf numFmtId="0" fontId="3" fillId="16" borderId="26" xfId="0" applyFont="1" applyFill="1" applyBorder="1" applyAlignment="1"/>
    <xf numFmtId="0" fontId="3" fillId="12" borderId="7" xfId="0" applyFont="1" applyFill="1" applyBorder="1"/>
    <xf numFmtId="167" fontId="3" fillId="12" borderId="7" xfId="0" applyNumberFormat="1" applyFont="1" applyFill="1" applyBorder="1" applyAlignment="1">
      <alignment horizontal="right"/>
    </xf>
    <xf numFmtId="0" fontId="3" fillId="9" borderId="7" xfId="0" applyFont="1" applyFill="1" applyBorder="1" applyAlignment="1">
      <alignment horizontal="right"/>
    </xf>
    <xf numFmtId="10" fontId="3" fillId="14" borderId="7" xfId="0" applyNumberFormat="1" applyFont="1" applyFill="1" applyBorder="1" applyAlignment="1">
      <alignment horizontal="right"/>
    </xf>
    <xf numFmtId="9" fontId="3" fillId="14" borderId="7" xfId="0" applyNumberFormat="1" applyFont="1" applyFill="1" applyBorder="1" applyAlignment="1">
      <alignment horizontal="right"/>
    </xf>
    <xf numFmtId="0" fontId="12" fillId="6" borderId="25" xfId="0" applyFont="1" applyFill="1" applyBorder="1" applyAlignment="1"/>
    <xf numFmtId="10" fontId="3" fillId="6" borderId="7" xfId="0" applyNumberFormat="1" applyFont="1" applyFill="1" applyBorder="1" applyAlignment="1">
      <alignment horizontal="right"/>
    </xf>
    <xf numFmtId="0" fontId="15" fillId="6" borderId="0" xfId="0" applyFont="1" applyFill="1" applyBorder="1"/>
    <xf numFmtId="0" fontId="12" fillId="6" borderId="26" xfId="0" applyFont="1" applyFill="1" applyBorder="1" applyAlignment="1"/>
    <xf numFmtId="9" fontId="3" fillId="6" borderId="7" xfId="0" applyNumberFormat="1" applyFont="1" applyFill="1" applyBorder="1" applyAlignment="1">
      <alignment horizontal="right"/>
    </xf>
    <xf numFmtId="0" fontId="12" fillId="17" borderId="26" xfId="0" applyFont="1" applyFill="1" applyBorder="1" applyAlignment="1"/>
    <xf numFmtId="10" fontId="3" fillId="17" borderId="7" xfId="0" applyNumberFormat="1" applyFont="1" applyFill="1" applyBorder="1" applyAlignment="1">
      <alignment horizontal="right"/>
    </xf>
    <xf numFmtId="2" fontId="9" fillId="0" borderId="0" xfId="2" applyNumberFormat="1" applyFill="1"/>
    <xf numFmtId="179" fontId="3" fillId="15" borderId="0" xfId="0" applyNumberFormat="1" applyFont="1" applyFill="1" applyBorder="1"/>
    <xf numFmtId="2" fontId="3" fillId="0" borderId="0" xfId="0" applyNumberFormat="1" applyFont="1" applyFill="1" applyBorder="1"/>
    <xf numFmtId="167" fontId="15" fillId="0" borderId="0" xfId="0" applyNumberFormat="1" applyFont="1" applyFill="1" applyBorder="1"/>
    <xf numFmtId="0" fontId="15" fillId="0" borderId="0" xfId="0" applyFont="1" applyFill="1" applyBorder="1"/>
    <xf numFmtId="172" fontId="3" fillId="15" borderId="13" xfId="0" applyNumberFormat="1" applyFont="1" applyFill="1" applyBorder="1"/>
    <xf numFmtId="172" fontId="15" fillId="6" borderId="0" xfId="0" applyNumberFormat="1" applyFont="1" applyFill="1" applyBorder="1"/>
    <xf numFmtId="180" fontId="3" fillId="0" borderId="0" xfId="0" applyNumberFormat="1" applyFont="1" applyFill="1" applyBorder="1"/>
    <xf numFmtId="181" fontId="3" fillId="15" borderId="11" xfId="0" applyNumberFormat="1" applyFont="1" applyFill="1" applyBorder="1"/>
    <xf numFmtId="0" fontId="3" fillId="9" borderId="0" xfId="0" applyFont="1" applyFill="1" applyBorder="1" applyAlignment="1">
      <alignment horizontal="left"/>
    </xf>
    <xf numFmtId="0" fontId="17" fillId="0" borderId="0" xfId="0" applyFont="1" applyFill="1"/>
    <xf numFmtId="0" fontId="18" fillId="0" borderId="0" xfId="0" applyFont="1"/>
    <xf numFmtId="0" fontId="18" fillId="0" borderId="0" xfId="0" applyFont="1" applyFill="1"/>
    <xf numFmtId="0" fontId="3" fillId="13" borderId="27" xfId="0" applyFont="1" applyFill="1" applyBorder="1"/>
    <xf numFmtId="0" fontId="3" fillId="13" borderId="28" xfId="0" applyFont="1" applyFill="1" applyBorder="1"/>
    <xf numFmtId="164" fontId="0" fillId="0" borderId="0" xfId="0" applyNumberFormat="1"/>
    <xf numFmtId="0" fontId="17" fillId="0" borderId="0" xfId="0" applyFont="1"/>
    <xf numFmtId="171" fontId="18" fillId="0" borderId="0" xfId="0" applyNumberFormat="1" applyFont="1" applyFill="1"/>
    <xf numFmtId="171" fontId="18" fillId="0" borderId="0" xfId="0" applyNumberFormat="1" applyFont="1" applyFill="1" applyBorder="1"/>
    <xf numFmtId="0" fontId="3" fillId="5" borderId="17" xfId="0" applyFont="1" applyFill="1" applyBorder="1"/>
    <xf numFmtId="0" fontId="3" fillId="5" borderId="18" xfId="0" applyFont="1" applyFill="1" applyBorder="1"/>
    <xf numFmtId="0" fontId="3" fillId="5" borderId="19" xfId="0" applyFont="1" applyFill="1" applyBorder="1"/>
    <xf numFmtId="0" fontId="3" fillId="5" borderId="20" xfId="0" applyFont="1" applyFill="1" applyBorder="1"/>
    <xf numFmtId="175" fontId="3" fillId="12" borderId="0" xfId="0" applyNumberFormat="1" applyFont="1" applyFill="1" applyBorder="1"/>
    <xf numFmtId="168" fontId="3" fillId="9" borderId="0" xfId="0" applyNumberFormat="1" applyFont="1" applyFill="1" applyBorder="1" applyAlignment="1">
      <alignment horizontal="right"/>
    </xf>
    <xf numFmtId="0" fontId="19" fillId="0" borderId="0" xfId="0" applyFont="1" applyFill="1"/>
    <xf numFmtId="0" fontId="3" fillId="5" borderId="23" xfId="0" applyFont="1" applyFill="1" applyBorder="1" applyAlignment="1"/>
    <xf numFmtId="0" fontId="3" fillId="5" borderId="24" xfId="0" applyFont="1" applyFill="1" applyBorder="1" applyAlignment="1"/>
    <xf numFmtId="0" fontId="3" fillId="8" borderId="0" xfId="0" applyFont="1" applyFill="1" applyBorder="1"/>
    <xf numFmtId="0" fontId="0" fillId="12" borderId="0" xfId="0" applyFill="1" applyBorder="1"/>
    <xf numFmtId="166" fontId="12" fillId="12" borderId="7" xfId="0" applyNumberFormat="1" applyFont="1" applyFill="1" applyBorder="1"/>
    <xf numFmtId="0" fontId="3" fillId="12" borderId="10" xfId="0" applyFont="1" applyFill="1" applyBorder="1"/>
    <xf numFmtId="167" fontId="3" fillId="12" borderId="10" xfId="0" applyNumberFormat="1" applyFont="1" applyFill="1" applyBorder="1"/>
    <xf numFmtId="172" fontId="3" fillId="12" borderId="10" xfId="0" applyNumberFormat="1" applyFont="1" applyFill="1" applyBorder="1"/>
    <xf numFmtId="0" fontId="3" fillId="12" borderId="10" xfId="0" applyNumberFormat="1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/>
    </xf>
    <xf numFmtId="168" fontId="3" fillId="12" borderId="10" xfId="0" applyNumberFormat="1" applyFont="1" applyFill="1" applyBorder="1" applyAlignment="1">
      <alignment horizontal="right"/>
    </xf>
    <xf numFmtId="10" fontId="3" fillId="12" borderId="10" xfId="0" applyNumberFormat="1" applyFont="1" applyFill="1" applyBorder="1" applyAlignment="1">
      <alignment horizontal="right"/>
    </xf>
    <xf numFmtId="0" fontId="3" fillId="12" borderId="5" xfId="0" applyFont="1" applyFill="1" applyBorder="1"/>
    <xf numFmtId="0" fontId="12" fillId="9" borderId="8" xfId="0" applyFont="1" applyFill="1" applyBorder="1" applyAlignment="1"/>
    <xf numFmtId="0" fontId="12" fillId="9" borderId="11" xfId="0" applyFont="1" applyFill="1" applyBorder="1"/>
    <xf numFmtId="0" fontId="3" fillId="9" borderId="11" xfId="0" applyFont="1" applyFill="1" applyBorder="1"/>
    <xf numFmtId="172" fontId="3" fillId="9" borderId="11" xfId="0" applyNumberFormat="1" applyFont="1" applyFill="1" applyBorder="1"/>
    <xf numFmtId="0" fontId="3" fillId="9" borderId="11" xfId="0" applyFont="1" applyFill="1" applyBorder="1" applyAlignment="1">
      <alignment horizontal="center"/>
    </xf>
    <xf numFmtId="168" fontId="3" fillId="9" borderId="11" xfId="0" applyNumberFormat="1" applyFont="1" applyFill="1" applyBorder="1" applyAlignment="1">
      <alignment horizontal="right"/>
    </xf>
    <xf numFmtId="10" fontId="3" fillId="9" borderId="11" xfId="0" applyNumberFormat="1" applyFont="1" applyFill="1" applyBorder="1" applyAlignment="1">
      <alignment horizontal="right"/>
    </xf>
    <xf numFmtId="164" fontId="3" fillId="9" borderId="9" xfId="0" applyNumberFormat="1" applyFont="1" applyFill="1" applyBorder="1" applyAlignment="1">
      <alignment horizontal="right"/>
    </xf>
    <xf numFmtId="0" fontId="12" fillId="9" borderId="0" xfId="0" applyFont="1" applyFill="1" applyBorder="1" applyAlignment="1"/>
    <xf numFmtId="0" fontId="3" fillId="12" borderId="21" xfId="0" applyFont="1" applyFill="1" applyBorder="1" applyAlignment="1">
      <alignment horizontal="left"/>
    </xf>
    <xf numFmtId="0" fontId="3" fillId="12" borderId="29" xfId="0" applyFont="1" applyFill="1" applyBorder="1" applyAlignment="1">
      <alignment horizontal="right"/>
    </xf>
    <xf numFmtId="0" fontId="3" fillId="12" borderId="22" xfId="0" applyFont="1" applyFill="1" applyBorder="1" applyAlignment="1">
      <alignment horizontal="right"/>
    </xf>
  </cellXfs>
  <cellStyles count="10">
    <cellStyle name="Accent2" xfId="2" builtinId="33"/>
    <cellStyle name="Hyperlink" xfId="1" builtinId="8"/>
    <cellStyle name="Normal" xfId="0" builtinId="0"/>
    <cellStyle name="Normal 2" xfId="4" xr:uid="{FABD9DF6-C5CA-445B-B343-891BC7B7D338}"/>
    <cellStyle name="Normal 3" xfId="5" xr:uid="{6F9B09AE-53DD-4DA3-AAC9-187B496BE009}"/>
    <cellStyle name="Normal 4" xfId="6" xr:uid="{AC9B72F3-10BC-4496-99CC-9FAED3EDDB2B}"/>
    <cellStyle name="Normal 5" xfId="7" xr:uid="{6E878AA3-BC63-4D68-BFD7-0A4A00CF6FC3}"/>
    <cellStyle name="Normal 6" xfId="8" xr:uid="{0AF64832-396E-47F1-A577-A80890375B6C}"/>
    <cellStyle name="Normal 8" xfId="9" xr:uid="{3F81D635-3411-475C-B7EE-41F1C5A34F95}"/>
    <cellStyle name="Normal 9" xfId="3" xr:uid="{34B1D3D0-CB0C-4C6F-90CC-960D089511DC}"/>
  </cellStyles>
  <dxfs count="0"/>
  <tableStyles count="0" defaultTableStyle="TableStyleMedium2" defaultPivotStyle="PivotStyleLight16"/>
  <colors>
    <mruColors>
      <color rgb="FFFF66FF"/>
      <color rgb="FFB56D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doi.org\10.1073\pnas.1117907109" TargetMode="External"/><Relationship Id="rId2" Type="http://schemas.openxmlformats.org/officeDocument/2006/relationships/hyperlink" Target="https://link.springer.com/article/10.1007/s00253-011-3559-x" TargetMode="External"/><Relationship Id="rId1" Type="http://schemas.openxmlformats.org/officeDocument/2006/relationships/hyperlink" Target="https://github.com/ModelSEED/ModelSEEDDatabase/blob/master/Templates/GramNegative/Biomasses.tsv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ED50-08EA-4F39-BBC2-3CAD1347B4CA}">
  <dimension ref="A1:AG147"/>
  <sheetViews>
    <sheetView tabSelected="1" zoomScale="70" zoomScaleNormal="100" workbookViewId="0"/>
  </sheetViews>
  <sheetFormatPr defaultRowHeight="15" x14ac:dyDescent="0.25"/>
  <cols>
    <col min="1" max="1" width="38.28515625" customWidth="1"/>
    <col min="2" max="2" width="25.85546875" customWidth="1"/>
    <col min="3" max="3" width="13.140625" customWidth="1"/>
    <col min="4" max="4" width="11.28515625" customWidth="1"/>
    <col min="5" max="5" width="24.5703125" customWidth="1"/>
    <col min="6" max="6" width="21.7109375" customWidth="1"/>
    <col min="7" max="7" width="10.7109375" customWidth="1"/>
    <col min="8" max="8" width="12" customWidth="1"/>
    <col min="10" max="10" width="14.85546875" customWidth="1"/>
    <col min="11" max="16" width="9.42578125" bestFit="1" customWidth="1"/>
    <col min="17" max="17" width="10.7109375" customWidth="1"/>
    <col min="18" max="18" width="13.7109375" customWidth="1"/>
    <col min="19" max="20" width="9.42578125" bestFit="1" customWidth="1"/>
    <col min="21" max="21" width="11.7109375" customWidth="1"/>
    <col min="22" max="22" width="9.42578125" bestFit="1" customWidth="1"/>
    <col min="23" max="23" width="9.28515625" bestFit="1" customWidth="1"/>
    <col min="24" max="24" width="19" bestFit="1" customWidth="1"/>
    <col min="25" max="26" width="9.42578125" bestFit="1" customWidth="1"/>
    <col min="29" max="30" width="9.42578125" bestFit="1" customWidth="1"/>
  </cols>
  <sheetData>
    <row r="1" spans="1:33" ht="51" x14ac:dyDescent="0.25">
      <c r="A1" s="69" t="s">
        <v>224</v>
      </c>
      <c r="B1" s="70" t="s">
        <v>159</v>
      </c>
      <c r="C1" s="70" t="s">
        <v>160</v>
      </c>
      <c r="D1" s="70" t="s">
        <v>434</v>
      </c>
      <c r="E1" s="71" t="s">
        <v>161</v>
      </c>
      <c r="F1" s="70" t="s">
        <v>162</v>
      </c>
      <c r="G1" s="70" t="s">
        <v>323</v>
      </c>
      <c r="H1" s="70" t="s">
        <v>163</v>
      </c>
      <c r="I1" s="70" t="s">
        <v>164</v>
      </c>
      <c r="J1" s="70" t="s">
        <v>225</v>
      </c>
      <c r="K1" s="70" t="s">
        <v>165</v>
      </c>
      <c r="L1" s="70" t="s">
        <v>166</v>
      </c>
      <c r="M1" s="70" t="s">
        <v>167</v>
      </c>
      <c r="N1" s="70" t="s">
        <v>168</v>
      </c>
      <c r="O1" s="70" t="s">
        <v>169</v>
      </c>
      <c r="P1" s="70" t="s">
        <v>170</v>
      </c>
      <c r="Q1" s="70" t="s">
        <v>171</v>
      </c>
      <c r="R1" s="70" t="s">
        <v>226</v>
      </c>
      <c r="S1" s="70" t="s">
        <v>172</v>
      </c>
      <c r="T1" s="72" t="s">
        <v>174</v>
      </c>
      <c r="U1" s="73"/>
      <c r="V1" s="73" t="s">
        <v>227</v>
      </c>
      <c r="W1" s="73" t="s">
        <v>228</v>
      </c>
      <c r="X1" s="70" t="s">
        <v>173</v>
      </c>
      <c r="Y1" s="70" t="s">
        <v>173</v>
      </c>
      <c r="Z1" s="74" t="s">
        <v>173</v>
      </c>
      <c r="AA1" s="3"/>
      <c r="AB1" s="3"/>
      <c r="AC1" s="3"/>
      <c r="AD1" s="3"/>
      <c r="AE1" s="3"/>
      <c r="AF1" s="3"/>
      <c r="AG1" s="3"/>
    </row>
    <row r="2" spans="1:33" x14ac:dyDescent="0.25">
      <c r="A2" s="75" t="s">
        <v>229</v>
      </c>
      <c r="B2" s="76"/>
      <c r="C2" s="76"/>
      <c r="D2" s="76"/>
      <c r="E2" s="77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8"/>
      <c r="U2" s="79"/>
      <c r="V2" s="79"/>
      <c r="W2" s="79"/>
      <c r="X2" s="76"/>
      <c r="Y2" s="76"/>
      <c r="Z2" s="80"/>
      <c r="AA2" s="3"/>
      <c r="AB2" s="3"/>
      <c r="AC2" s="3"/>
      <c r="AD2" s="3"/>
      <c r="AE2" s="3"/>
      <c r="AF2" s="3"/>
      <c r="AG2" s="3"/>
    </row>
    <row r="3" spans="1:33" x14ac:dyDescent="0.25">
      <c r="A3" s="81"/>
      <c r="B3" s="82" t="s">
        <v>436</v>
      </c>
      <c r="C3" s="82">
        <v>0.51</v>
      </c>
      <c r="D3" s="82"/>
      <c r="E3" s="83">
        <f t="shared" ref="E3:E30" si="0">T3</f>
        <v>0.3943376772785363</v>
      </c>
      <c r="F3" s="84" t="s">
        <v>175</v>
      </c>
      <c r="G3" s="84" t="s">
        <v>332</v>
      </c>
      <c r="H3" s="84" t="s">
        <v>150</v>
      </c>
      <c r="I3" s="84" t="s">
        <v>176</v>
      </c>
      <c r="J3" s="84" t="s">
        <v>177</v>
      </c>
      <c r="K3" s="84">
        <v>3</v>
      </c>
      <c r="L3" s="84">
        <v>7</v>
      </c>
      <c r="M3" s="84">
        <v>1</v>
      </c>
      <c r="N3" s="84">
        <v>2</v>
      </c>
      <c r="O3" s="84">
        <v>0</v>
      </c>
      <c r="P3" s="84">
        <v>0</v>
      </c>
      <c r="Q3" s="84">
        <f t="shared" ref="Q3:Q30" si="1">(K3*12.011)+(L3*1.008)+(N3*15.999)+(14.007*M3)+(O3*30.974)+(P3*32.066)</f>
        <v>89.094000000000008</v>
      </c>
      <c r="R3" s="85" t="s">
        <v>178</v>
      </c>
      <c r="S3" s="84">
        <f>Q3-$Q$91</f>
        <v>71.079000000000008</v>
      </c>
      <c r="T3" s="86">
        <f>'Amino acids and protein'!H2</f>
        <v>0.3943376772785363</v>
      </c>
      <c r="U3" s="84"/>
      <c r="V3" s="82"/>
      <c r="W3" s="82"/>
      <c r="X3" s="82">
        <f t="shared" ref="X3:X29" si="2">(E3*Q3)/1000</f>
        <v>3.5133121019453914E-2</v>
      </c>
      <c r="Y3" s="82"/>
      <c r="Z3" s="87"/>
      <c r="AA3" s="3"/>
      <c r="AB3" s="3"/>
      <c r="AC3" s="3"/>
      <c r="AD3" s="3"/>
      <c r="AE3" s="3"/>
      <c r="AF3" s="3"/>
      <c r="AG3" s="3"/>
    </row>
    <row r="4" spans="1:33" x14ac:dyDescent="0.25">
      <c r="A4" s="81"/>
      <c r="B4" s="82"/>
      <c r="C4" s="88"/>
      <c r="D4" s="88"/>
      <c r="E4" s="83">
        <f t="shared" si="0"/>
        <v>0.25458778035379098</v>
      </c>
      <c r="F4" s="84" t="s">
        <v>179</v>
      </c>
      <c r="G4" s="84" t="s">
        <v>334</v>
      </c>
      <c r="H4" s="84" t="s">
        <v>150</v>
      </c>
      <c r="I4" s="84" t="s">
        <v>176</v>
      </c>
      <c r="J4" s="84" t="s">
        <v>180</v>
      </c>
      <c r="K4" s="84">
        <v>6</v>
      </c>
      <c r="L4" s="84">
        <v>15</v>
      </c>
      <c r="M4" s="84">
        <v>4</v>
      </c>
      <c r="N4" s="84">
        <v>2</v>
      </c>
      <c r="O4" s="84">
        <v>0</v>
      </c>
      <c r="P4" s="84">
        <v>0</v>
      </c>
      <c r="Q4" s="84">
        <f t="shared" si="1"/>
        <v>175.21200000000002</v>
      </c>
      <c r="R4" s="85" t="s">
        <v>178</v>
      </c>
      <c r="S4" s="84">
        <f>Q4-$Q$91</f>
        <v>157.197</v>
      </c>
      <c r="T4" s="86">
        <f>'Amino acids and protein'!H3</f>
        <v>0.25458778035379098</v>
      </c>
      <c r="U4" s="84"/>
      <c r="V4" s="82"/>
      <c r="W4" s="82"/>
      <c r="X4" s="82">
        <f t="shared" si="2"/>
        <v>4.4606834171348433E-2</v>
      </c>
      <c r="Y4" s="82"/>
      <c r="Z4" s="87"/>
      <c r="AA4" s="3"/>
      <c r="AB4" s="3"/>
      <c r="AC4" s="3"/>
      <c r="AD4" s="3"/>
      <c r="AE4" s="3"/>
      <c r="AF4" s="3"/>
      <c r="AG4" s="3"/>
    </row>
    <row r="5" spans="1:33" x14ac:dyDescent="0.25">
      <c r="A5" s="81"/>
      <c r="B5" s="82"/>
      <c r="C5" s="82"/>
      <c r="D5" s="82"/>
      <c r="E5" s="83">
        <f t="shared" si="0"/>
        <v>0.18692530752477557</v>
      </c>
      <c r="F5" s="84" t="s">
        <v>181</v>
      </c>
      <c r="G5" s="84" t="s">
        <v>335</v>
      </c>
      <c r="H5" s="84" t="s">
        <v>150</v>
      </c>
      <c r="I5" s="84" t="s">
        <v>176</v>
      </c>
      <c r="J5" s="84" t="s">
        <v>182</v>
      </c>
      <c r="K5" s="84">
        <v>4</v>
      </c>
      <c r="L5" s="84">
        <v>8</v>
      </c>
      <c r="M5" s="84">
        <v>2</v>
      </c>
      <c r="N5" s="84">
        <v>3</v>
      </c>
      <c r="O5" s="84">
        <v>0</v>
      </c>
      <c r="P5" s="84">
        <v>0</v>
      </c>
      <c r="Q5" s="84">
        <f t="shared" si="1"/>
        <v>132.119</v>
      </c>
      <c r="R5" s="85" t="s">
        <v>178</v>
      </c>
      <c r="S5" s="84">
        <f>Q5-$Q$91</f>
        <v>114.104</v>
      </c>
      <c r="T5" s="86">
        <f>'Amino acids and protein'!H4</f>
        <v>0.18692530752477557</v>
      </c>
      <c r="U5" s="84"/>
      <c r="V5" s="82"/>
      <c r="W5" s="82"/>
      <c r="X5" s="82">
        <f t="shared" si="2"/>
        <v>2.4696384704865824E-2</v>
      </c>
      <c r="Y5" s="82"/>
      <c r="Z5" s="87"/>
      <c r="AA5" s="3"/>
      <c r="AB5" s="3"/>
      <c r="AC5" s="3"/>
      <c r="AD5" s="3"/>
      <c r="AE5" s="3"/>
      <c r="AF5" s="3"/>
      <c r="AG5" s="3"/>
    </row>
    <row r="6" spans="1:33" x14ac:dyDescent="0.25">
      <c r="A6" s="81"/>
      <c r="B6" s="82"/>
      <c r="C6" s="82"/>
      <c r="D6" s="82"/>
      <c r="E6" s="83">
        <f t="shared" si="0"/>
        <v>0.2163778062628218</v>
      </c>
      <c r="F6" s="84" t="s">
        <v>183</v>
      </c>
      <c r="G6" s="84" t="s">
        <v>336</v>
      </c>
      <c r="H6" s="84" t="s">
        <v>150</v>
      </c>
      <c r="I6" s="84" t="s">
        <v>176</v>
      </c>
      <c r="J6" s="84" t="s">
        <v>184</v>
      </c>
      <c r="K6" s="84">
        <v>4</v>
      </c>
      <c r="L6" s="84">
        <v>6</v>
      </c>
      <c r="M6" s="84">
        <v>1</v>
      </c>
      <c r="N6" s="84">
        <v>4</v>
      </c>
      <c r="O6" s="84">
        <v>0</v>
      </c>
      <c r="P6" s="84">
        <v>0</v>
      </c>
      <c r="Q6" s="84">
        <f t="shared" si="1"/>
        <v>132.095</v>
      </c>
      <c r="R6" s="85" t="s">
        <v>178</v>
      </c>
      <c r="S6" s="84">
        <f>Q6-$Q$91</f>
        <v>114.08</v>
      </c>
      <c r="T6" s="86">
        <f>'Amino acids and protein'!H5</f>
        <v>0.2163778062628218</v>
      </c>
      <c r="U6" s="84"/>
      <c r="V6" s="82"/>
      <c r="W6" s="82"/>
      <c r="X6" s="82">
        <f t="shared" si="2"/>
        <v>2.8582426318287446E-2</v>
      </c>
      <c r="Y6" s="82"/>
      <c r="Z6" s="87"/>
      <c r="AA6" s="3"/>
      <c r="AB6" s="3"/>
      <c r="AC6" s="3"/>
      <c r="AD6" s="3"/>
      <c r="AE6" s="3"/>
      <c r="AF6" s="3"/>
      <c r="AG6" s="3"/>
    </row>
    <row r="7" spans="1:33" x14ac:dyDescent="0.25">
      <c r="A7" s="81"/>
      <c r="B7" s="82"/>
      <c r="C7" s="82"/>
      <c r="D7" s="82"/>
      <c r="E7" s="83">
        <f t="shared" si="0"/>
        <v>4.8521381416145745E-2</v>
      </c>
      <c r="F7" s="84" t="s">
        <v>185</v>
      </c>
      <c r="G7" s="84" t="s">
        <v>337</v>
      </c>
      <c r="H7" s="84" t="s">
        <v>150</v>
      </c>
      <c r="I7" s="84" t="s">
        <v>176</v>
      </c>
      <c r="J7" s="84" t="s">
        <v>186</v>
      </c>
      <c r="K7" s="84">
        <v>3</v>
      </c>
      <c r="L7" s="84">
        <v>7</v>
      </c>
      <c r="M7" s="84">
        <v>1</v>
      </c>
      <c r="N7" s="84">
        <v>2</v>
      </c>
      <c r="O7" s="84">
        <v>0</v>
      </c>
      <c r="P7" s="84">
        <v>1</v>
      </c>
      <c r="Q7" s="84">
        <f t="shared" si="1"/>
        <v>121.16000000000001</v>
      </c>
      <c r="R7" s="85" t="s">
        <v>178</v>
      </c>
      <c r="S7" s="84">
        <f>Q7-$Q$91</f>
        <v>103.14500000000001</v>
      </c>
      <c r="T7" s="86">
        <f>'Amino acids and protein'!H6</f>
        <v>4.8521381416145745E-2</v>
      </c>
      <c r="U7" s="84"/>
      <c r="V7" s="82"/>
      <c r="W7" s="82"/>
      <c r="X7" s="82">
        <f t="shared" si="2"/>
        <v>5.8788505723802184E-3</v>
      </c>
      <c r="Y7" s="82"/>
      <c r="Z7" s="87"/>
      <c r="AA7" s="3"/>
      <c r="AB7" s="3"/>
      <c r="AC7" s="3"/>
      <c r="AD7" s="3"/>
      <c r="AE7" s="3"/>
      <c r="AF7" s="3"/>
      <c r="AG7" s="3"/>
    </row>
    <row r="8" spans="1:33" x14ac:dyDescent="0.25">
      <c r="A8" s="81"/>
      <c r="B8" s="82"/>
      <c r="C8" s="82"/>
      <c r="D8" s="82"/>
      <c r="E8" s="83">
        <f t="shared" si="0"/>
        <v>0.27577671148474203</v>
      </c>
      <c r="F8" s="84" t="s">
        <v>187</v>
      </c>
      <c r="G8" s="84" t="s">
        <v>338</v>
      </c>
      <c r="H8" s="84" t="s">
        <v>150</v>
      </c>
      <c r="I8" s="84" t="s">
        <v>176</v>
      </c>
      <c r="J8" s="84" t="s">
        <v>188</v>
      </c>
      <c r="K8" s="84">
        <v>5</v>
      </c>
      <c r="L8" s="84">
        <v>10</v>
      </c>
      <c r="M8" s="84">
        <v>2</v>
      </c>
      <c r="N8" s="84">
        <v>3</v>
      </c>
      <c r="O8" s="84">
        <v>0</v>
      </c>
      <c r="P8" s="84">
        <v>0</v>
      </c>
      <c r="Q8" s="84">
        <f t="shared" si="1"/>
        <v>146.14599999999999</v>
      </c>
      <c r="R8" s="85" t="s">
        <v>178</v>
      </c>
      <c r="S8" s="84">
        <f>Q8-$Q$91</f>
        <v>128.13099999999997</v>
      </c>
      <c r="T8" s="86">
        <f>'Amino acids and protein'!H7</f>
        <v>0.27577671148474203</v>
      </c>
      <c r="U8" s="84"/>
      <c r="V8" s="82"/>
      <c r="W8" s="82"/>
      <c r="X8" s="82">
        <f t="shared" si="2"/>
        <v>4.0303663276649103E-2</v>
      </c>
      <c r="Y8" s="82"/>
      <c r="Z8" s="87"/>
      <c r="AA8" s="3"/>
      <c r="AB8" s="3"/>
      <c r="AC8" s="3"/>
      <c r="AD8" s="3"/>
      <c r="AE8" s="3"/>
      <c r="AF8" s="3"/>
      <c r="AG8" s="3"/>
    </row>
    <row r="9" spans="1:33" x14ac:dyDescent="0.25">
      <c r="A9" s="208" t="s">
        <v>455</v>
      </c>
      <c r="B9" s="203"/>
      <c r="C9" s="204"/>
      <c r="D9" s="82"/>
      <c r="E9" s="83">
        <f t="shared" si="0"/>
        <v>0.26238632370896653</v>
      </c>
      <c r="F9" s="84" t="s">
        <v>189</v>
      </c>
      <c r="G9" s="84" t="s">
        <v>339</v>
      </c>
      <c r="H9" s="84" t="s">
        <v>150</v>
      </c>
      <c r="I9" s="84" t="s">
        <v>176</v>
      </c>
      <c r="J9" s="84" t="s">
        <v>190</v>
      </c>
      <c r="K9" s="84">
        <v>5</v>
      </c>
      <c r="L9" s="84">
        <v>8</v>
      </c>
      <c r="M9" s="84">
        <v>1</v>
      </c>
      <c r="N9" s="84">
        <v>4</v>
      </c>
      <c r="O9" s="84">
        <v>0</v>
      </c>
      <c r="P9" s="84">
        <v>0</v>
      </c>
      <c r="Q9" s="84">
        <f t="shared" si="1"/>
        <v>146.12200000000001</v>
      </c>
      <c r="R9" s="85" t="s">
        <v>178</v>
      </c>
      <c r="S9" s="84">
        <f>Q9-$Q$91</f>
        <v>128.10700000000003</v>
      </c>
      <c r="T9" s="86">
        <f>'Amino acids and protein'!H8</f>
        <v>0.26238632370896653</v>
      </c>
      <c r="U9" s="84"/>
      <c r="V9" s="82"/>
      <c r="W9" s="82"/>
      <c r="X9" s="82">
        <f t="shared" si="2"/>
        <v>3.8340414393001607E-2</v>
      </c>
      <c r="Y9" s="82"/>
      <c r="Z9" s="87"/>
      <c r="AA9" s="3"/>
      <c r="AB9" s="3"/>
      <c r="AC9" s="3"/>
      <c r="AD9" s="3"/>
      <c r="AE9" s="3"/>
      <c r="AF9" s="3"/>
      <c r="AG9" s="3"/>
    </row>
    <row r="10" spans="1:33" x14ac:dyDescent="0.25">
      <c r="A10" s="209" t="s">
        <v>456</v>
      </c>
      <c r="B10" s="205"/>
      <c r="C10" s="206"/>
      <c r="D10" s="82"/>
      <c r="E10" s="83">
        <f t="shared" si="0"/>
        <v>0.29667391932722148</v>
      </c>
      <c r="F10" s="84" t="s">
        <v>191</v>
      </c>
      <c r="G10" s="84" t="s">
        <v>340</v>
      </c>
      <c r="H10" s="84" t="s">
        <v>150</v>
      </c>
      <c r="I10" s="84" t="s">
        <v>176</v>
      </c>
      <c r="J10" s="84" t="s">
        <v>192</v>
      </c>
      <c r="K10" s="84">
        <v>2</v>
      </c>
      <c r="L10" s="84">
        <v>5</v>
      </c>
      <c r="M10" s="84">
        <v>1</v>
      </c>
      <c r="N10" s="84">
        <v>2</v>
      </c>
      <c r="O10" s="84">
        <v>0</v>
      </c>
      <c r="P10" s="84">
        <v>0</v>
      </c>
      <c r="Q10" s="84">
        <f t="shared" si="1"/>
        <v>75.067000000000007</v>
      </c>
      <c r="R10" s="85" t="s">
        <v>178</v>
      </c>
      <c r="S10" s="84">
        <f>Q10-$Q$91</f>
        <v>57.052000000000007</v>
      </c>
      <c r="T10" s="86">
        <f>'Amino acids and protein'!H9</f>
        <v>0.29667391932722148</v>
      </c>
      <c r="U10" s="84"/>
      <c r="V10" s="82"/>
      <c r="W10" s="82"/>
      <c r="X10" s="82">
        <f t="shared" si="2"/>
        <v>2.2270421102136537E-2</v>
      </c>
      <c r="Y10" s="82"/>
      <c r="Z10" s="87"/>
      <c r="AA10" s="3"/>
      <c r="AB10" s="3"/>
      <c r="AC10" s="3"/>
      <c r="AD10" s="3"/>
      <c r="AE10" s="3"/>
      <c r="AF10" s="3"/>
      <c r="AG10" s="3"/>
    </row>
    <row r="11" spans="1:33" x14ac:dyDescent="0.25">
      <c r="A11" s="81"/>
      <c r="B11" s="82"/>
      <c r="C11" s="82"/>
      <c r="D11" s="82"/>
      <c r="E11" s="83">
        <f t="shared" si="0"/>
        <v>9.0783709702415463E-2</v>
      </c>
      <c r="F11" s="84" t="s">
        <v>193</v>
      </c>
      <c r="G11" s="84" t="s">
        <v>341</v>
      </c>
      <c r="H11" s="84" t="s">
        <v>150</v>
      </c>
      <c r="I11" s="84" t="s">
        <v>176</v>
      </c>
      <c r="J11" s="84" t="s">
        <v>194</v>
      </c>
      <c r="K11" s="84">
        <v>6</v>
      </c>
      <c r="L11" s="84">
        <v>9</v>
      </c>
      <c r="M11" s="84">
        <v>3</v>
      </c>
      <c r="N11" s="84">
        <v>2</v>
      </c>
      <c r="O11" s="84">
        <v>0</v>
      </c>
      <c r="P11" s="84">
        <v>0</v>
      </c>
      <c r="Q11" s="84">
        <f t="shared" si="1"/>
        <v>155.15700000000001</v>
      </c>
      <c r="R11" s="85" t="s">
        <v>178</v>
      </c>
      <c r="S11" s="84">
        <f>Q11-$Q$91</f>
        <v>137.142</v>
      </c>
      <c r="T11" s="86">
        <f>'Amino acids and protein'!H10</f>
        <v>9.0783709702415463E-2</v>
      </c>
      <c r="U11" s="84"/>
      <c r="V11" s="82"/>
      <c r="W11" s="82"/>
      <c r="X11" s="82">
        <f t="shared" si="2"/>
        <v>1.4085728046297676E-2</v>
      </c>
      <c r="Y11" s="82"/>
      <c r="Z11" s="87"/>
      <c r="AA11" s="3"/>
      <c r="AB11" s="89" t="s">
        <v>319</v>
      </c>
      <c r="AC11" s="90"/>
      <c r="AD11" s="90" t="s">
        <v>320</v>
      </c>
      <c r="AE11" s="3"/>
      <c r="AF11" s="3"/>
      <c r="AG11" s="3"/>
    </row>
    <row r="12" spans="1:33" x14ac:dyDescent="0.25">
      <c r="A12" s="81"/>
      <c r="B12" s="82"/>
      <c r="C12" s="82"/>
      <c r="D12" s="82"/>
      <c r="E12" s="83">
        <f t="shared" si="0"/>
        <v>0.29739600667492294</v>
      </c>
      <c r="F12" s="84" t="s">
        <v>195</v>
      </c>
      <c r="G12" s="84" t="s">
        <v>342</v>
      </c>
      <c r="H12" s="84" t="s">
        <v>150</v>
      </c>
      <c r="I12" s="84" t="s">
        <v>176</v>
      </c>
      <c r="J12" s="84" t="s">
        <v>196</v>
      </c>
      <c r="K12" s="84">
        <v>6</v>
      </c>
      <c r="L12" s="84">
        <v>13</v>
      </c>
      <c r="M12" s="84">
        <v>1</v>
      </c>
      <c r="N12" s="84">
        <v>2</v>
      </c>
      <c r="O12" s="84">
        <v>0</v>
      </c>
      <c r="P12" s="84">
        <v>0</v>
      </c>
      <c r="Q12" s="84">
        <f t="shared" si="1"/>
        <v>131.17500000000001</v>
      </c>
      <c r="R12" s="85" t="s">
        <v>178</v>
      </c>
      <c r="S12" s="84">
        <f>Q12-$Q$91</f>
        <v>113.16000000000001</v>
      </c>
      <c r="T12" s="86">
        <f>'Amino acids and protein'!H11</f>
        <v>0.29739600667492294</v>
      </c>
      <c r="U12" s="84"/>
      <c r="V12" s="82"/>
      <c r="W12" s="82"/>
      <c r="X12" s="82">
        <f t="shared" si="2"/>
        <v>3.9010921175583024E-2</v>
      </c>
      <c r="Y12" s="82"/>
      <c r="Z12" s="87"/>
      <c r="AA12" s="3"/>
      <c r="AB12" s="90" t="s">
        <v>321</v>
      </c>
      <c r="AC12" s="91">
        <f>SUM(X3:X81)</f>
        <v>28.952691430947944</v>
      </c>
      <c r="AD12" s="91">
        <f>SUM(Z3:Z92)</f>
        <v>0.95240560505386818</v>
      </c>
      <c r="AE12" s="3"/>
      <c r="AF12" s="3"/>
      <c r="AG12" s="3"/>
    </row>
    <row r="13" spans="1:33" x14ac:dyDescent="0.25">
      <c r="A13" s="81"/>
      <c r="B13" s="82"/>
      <c r="C13" s="82"/>
      <c r="D13" s="82"/>
      <c r="E13" s="83">
        <f t="shared" si="0"/>
        <v>0.50376279394921208</v>
      </c>
      <c r="F13" s="84" t="s">
        <v>197</v>
      </c>
      <c r="G13" s="84" t="s">
        <v>343</v>
      </c>
      <c r="H13" s="84" t="s">
        <v>150</v>
      </c>
      <c r="I13" s="84" t="s">
        <v>176</v>
      </c>
      <c r="J13" s="84" t="s">
        <v>196</v>
      </c>
      <c r="K13" s="84">
        <v>6</v>
      </c>
      <c r="L13" s="84">
        <v>13</v>
      </c>
      <c r="M13" s="84">
        <v>1</v>
      </c>
      <c r="N13" s="84">
        <v>2</v>
      </c>
      <c r="O13" s="84">
        <v>0</v>
      </c>
      <c r="P13" s="84">
        <v>0</v>
      </c>
      <c r="Q13" s="84">
        <f t="shared" si="1"/>
        <v>131.17500000000001</v>
      </c>
      <c r="R13" s="85" t="s">
        <v>178</v>
      </c>
      <c r="S13" s="84">
        <f>Q13-$Q$91</f>
        <v>113.16000000000001</v>
      </c>
      <c r="T13" s="86">
        <f>'Amino acids and protein'!H12</f>
        <v>0.50376279394921208</v>
      </c>
      <c r="U13" s="84"/>
      <c r="V13" s="82"/>
      <c r="W13" s="82"/>
      <c r="X13" s="82">
        <f t="shared" si="2"/>
        <v>6.6081084496287898E-2</v>
      </c>
      <c r="Y13" s="82"/>
      <c r="Z13" s="87"/>
      <c r="AA13" s="3"/>
      <c r="AB13" s="90" t="s">
        <v>322</v>
      </c>
      <c r="AC13" s="91">
        <f>SUM(X86:X91)</f>
        <v>27.997055825894083</v>
      </c>
      <c r="AD13" s="91"/>
      <c r="AE13" s="3"/>
      <c r="AF13" s="3"/>
      <c r="AG13" s="3"/>
    </row>
    <row r="14" spans="1:33" x14ac:dyDescent="0.25">
      <c r="A14" s="81"/>
      <c r="B14" s="82"/>
      <c r="C14" s="82"/>
      <c r="D14" s="82"/>
      <c r="E14" s="83">
        <f>T14</f>
        <v>0.19240161796974325</v>
      </c>
      <c r="F14" s="84" t="s">
        <v>198</v>
      </c>
      <c r="G14" s="84" t="s">
        <v>344</v>
      </c>
      <c r="H14" s="84" t="s">
        <v>150</v>
      </c>
      <c r="I14" s="84" t="s">
        <v>176</v>
      </c>
      <c r="J14" s="84" t="s">
        <v>199</v>
      </c>
      <c r="K14" s="84">
        <v>6</v>
      </c>
      <c r="L14" s="84">
        <v>15</v>
      </c>
      <c r="M14" s="84">
        <v>2</v>
      </c>
      <c r="N14" s="84">
        <v>2</v>
      </c>
      <c r="O14" s="84">
        <v>0</v>
      </c>
      <c r="P14" s="84">
        <v>0</v>
      </c>
      <c r="Q14" s="84">
        <f t="shared" si="1"/>
        <v>147.19800000000001</v>
      </c>
      <c r="R14" s="85" t="s">
        <v>178</v>
      </c>
      <c r="S14" s="84">
        <f>Q14-$Q$91</f>
        <v>129.18299999999999</v>
      </c>
      <c r="T14" s="86">
        <f>'Amino acids and protein'!H13</f>
        <v>0.19240161796974325</v>
      </c>
      <c r="U14" s="84"/>
      <c r="V14" s="82"/>
      <c r="W14" s="82"/>
      <c r="X14" s="82">
        <f t="shared" si="2"/>
        <v>2.8321133361910271E-2</v>
      </c>
      <c r="Y14" s="82"/>
      <c r="Z14" s="87"/>
      <c r="AA14" s="3"/>
      <c r="AB14" s="90" t="s">
        <v>320</v>
      </c>
      <c r="AC14" s="91">
        <f>AC12-AC13</f>
        <v>0.95563560505386036</v>
      </c>
      <c r="AD14" s="91"/>
      <c r="AE14" s="3"/>
      <c r="AF14" s="3"/>
      <c r="AG14" s="3"/>
    </row>
    <row r="15" spans="1:33" x14ac:dyDescent="0.25">
      <c r="A15" s="81"/>
      <c r="B15" s="82"/>
      <c r="C15" s="82"/>
      <c r="D15" s="82"/>
      <c r="E15" s="83">
        <f t="shared" si="0"/>
        <v>8.5405603136735148E-2</v>
      </c>
      <c r="F15" s="84" t="s">
        <v>200</v>
      </c>
      <c r="G15" s="84" t="s">
        <v>345</v>
      </c>
      <c r="H15" s="84" t="s">
        <v>150</v>
      </c>
      <c r="I15" s="84" t="s">
        <v>176</v>
      </c>
      <c r="J15" s="84" t="s">
        <v>201</v>
      </c>
      <c r="K15" s="84">
        <v>5</v>
      </c>
      <c r="L15" s="84">
        <v>11</v>
      </c>
      <c r="M15" s="84">
        <v>1</v>
      </c>
      <c r="N15" s="84">
        <v>2</v>
      </c>
      <c r="O15" s="84">
        <v>0</v>
      </c>
      <c r="P15" s="84">
        <v>1</v>
      </c>
      <c r="Q15" s="84">
        <f t="shared" si="1"/>
        <v>149.214</v>
      </c>
      <c r="R15" s="85" t="s">
        <v>178</v>
      </c>
      <c r="S15" s="84">
        <f>Q15-$Q$91</f>
        <v>131.19900000000001</v>
      </c>
      <c r="T15" s="86">
        <f>'Amino acids and protein'!H14</f>
        <v>8.5405603136735148E-2</v>
      </c>
      <c r="U15" s="84"/>
      <c r="V15" s="82"/>
      <c r="W15" s="82"/>
      <c r="X15" s="82">
        <f t="shared" si="2"/>
        <v>1.2743711666444796E-2</v>
      </c>
      <c r="Y15" s="82"/>
      <c r="Z15" s="87"/>
      <c r="AA15" s="3"/>
      <c r="AB15" s="90"/>
      <c r="AC15" s="91"/>
      <c r="AD15" s="91"/>
      <c r="AE15" s="3"/>
      <c r="AF15" s="3"/>
      <c r="AG15" s="3"/>
    </row>
    <row r="16" spans="1:33" x14ac:dyDescent="0.25">
      <c r="A16" s="81"/>
      <c r="B16" s="82"/>
      <c r="C16" s="82"/>
      <c r="D16" s="82"/>
      <c r="E16" s="83">
        <f t="shared" si="0"/>
        <v>0.17910943407325519</v>
      </c>
      <c r="F16" s="84" t="s">
        <v>202</v>
      </c>
      <c r="G16" s="84" t="s">
        <v>346</v>
      </c>
      <c r="H16" s="84" t="s">
        <v>150</v>
      </c>
      <c r="I16" s="84" t="s">
        <v>176</v>
      </c>
      <c r="J16" s="84" t="s">
        <v>203</v>
      </c>
      <c r="K16" s="84">
        <v>9</v>
      </c>
      <c r="L16" s="84">
        <v>11</v>
      </c>
      <c r="M16" s="84">
        <v>1</v>
      </c>
      <c r="N16" s="84">
        <v>2</v>
      </c>
      <c r="O16" s="84">
        <v>0</v>
      </c>
      <c r="P16" s="84">
        <v>0</v>
      </c>
      <c r="Q16" s="84">
        <f t="shared" si="1"/>
        <v>165.19199999999998</v>
      </c>
      <c r="R16" s="85" t="s">
        <v>178</v>
      </c>
      <c r="S16" s="84">
        <f>Q16-$Q$91</f>
        <v>147.17699999999996</v>
      </c>
      <c r="T16" s="86">
        <f>'Amino acids and protein'!H15</f>
        <v>0.17910943407325519</v>
      </c>
      <c r="U16" s="84"/>
      <c r="V16" s="82"/>
      <c r="W16" s="82"/>
      <c r="X16" s="82">
        <f t="shared" si="2"/>
        <v>2.9587445633429171E-2</v>
      </c>
      <c r="Y16" s="82"/>
      <c r="Z16" s="87"/>
      <c r="AA16" s="3"/>
      <c r="AB16" s="92" t="s">
        <v>302</v>
      </c>
      <c r="AC16" s="90"/>
      <c r="AD16" s="91"/>
      <c r="AE16" s="3"/>
      <c r="AF16" s="3"/>
      <c r="AG16" s="3"/>
    </row>
    <row r="17" spans="1:33" x14ac:dyDescent="0.25">
      <c r="A17" s="81"/>
      <c r="B17" s="82"/>
      <c r="C17" s="82"/>
      <c r="D17" s="82"/>
      <c r="E17" s="83">
        <f t="shared" si="0"/>
        <v>0.21466501507407396</v>
      </c>
      <c r="F17" s="84" t="s">
        <v>204</v>
      </c>
      <c r="G17" s="84" t="s">
        <v>347</v>
      </c>
      <c r="H17" s="84" t="s">
        <v>150</v>
      </c>
      <c r="I17" s="84" t="s">
        <v>176</v>
      </c>
      <c r="J17" s="84" t="s">
        <v>205</v>
      </c>
      <c r="K17" s="84">
        <v>5</v>
      </c>
      <c r="L17" s="84">
        <v>9</v>
      </c>
      <c r="M17" s="84">
        <v>1</v>
      </c>
      <c r="N17" s="84">
        <v>2</v>
      </c>
      <c r="O17" s="84">
        <v>0</v>
      </c>
      <c r="P17" s="84">
        <v>0</v>
      </c>
      <c r="Q17" s="84">
        <f t="shared" si="1"/>
        <v>115.13200000000001</v>
      </c>
      <c r="R17" s="85" t="s">
        <v>178</v>
      </c>
      <c r="S17" s="84">
        <f>Q17-$Q$91</f>
        <v>97.117000000000004</v>
      </c>
      <c r="T17" s="86">
        <f>'Amino acids and protein'!H16</f>
        <v>0.21466501507407396</v>
      </c>
      <c r="U17" s="84"/>
      <c r="V17" s="82"/>
      <c r="W17" s="86"/>
      <c r="X17" s="82">
        <f t="shared" si="2"/>
        <v>2.4714812515508285E-2</v>
      </c>
      <c r="Y17" s="82"/>
      <c r="Z17" s="87"/>
      <c r="AA17" s="3"/>
      <c r="AB17" s="92" t="s">
        <v>321</v>
      </c>
      <c r="AC17" s="90">
        <f>SUM(X80:X81)</f>
        <v>27.80415275</v>
      </c>
      <c r="AD17" s="91"/>
      <c r="AE17" s="3"/>
      <c r="AF17" s="3"/>
      <c r="AG17" s="3"/>
    </row>
    <row r="18" spans="1:33" x14ac:dyDescent="0.25">
      <c r="A18" s="81"/>
      <c r="B18" s="82"/>
      <c r="C18" s="82"/>
      <c r="D18" s="82"/>
      <c r="E18" s="83">
        <f t="shared" si="0"/>
        <v>0.28652137121853932</v>
      </c>
      <c r="F18" s="84" t="s">
        <v>206</v>
      </c>
      <c r="G18" s="84" t="s">
        <v>348</v>
      </c>
      <c r="H18" s="84" t="s">
        <v>150</v>
      </c>
      <c r="I18" s="84" t="s">
        <v>176</v>
      </c>
      <c r="J18" s="84" t="s">
        <v>207</v>
      </c>
      <c r="K18" s="84">
        <v>3</v>
      </c>
      <c r="L18" s="84">
        <v>7</v>
      </c>
      <c r="M18" s="84">
        <v>1</v>
      </c>
      <c r="N18" s="84">
        <v>3</v>
      </c>
      <c r="O18" s="84">
        <v>0</v>
      </c>
      <c r="P18" s="84">
        <v>0</v>
      </c>
      <c r="Q18" s="84">
        <f t="shared" si="1"/>
        <v>105.093</v>
      </c>
      <c r="R18" s="85" t="s">
        <v>178</v>
      </c>
      <c r="S18" s="84">
        <f>Q18-$Q$91</f>
        <v>87.078000000000003</v>
      </c>
      <c r="T18" s="86">
        <f>'Amino acids and protein'!H17</f>
        <v>0.28652137121853932</v>
      </c>
      <c r="U18" s="84"/>
      <c r="V18" s="82"/>
      <c r="W18" s="82"/>
      <c r="X18" s="82">
        <f t="shared" si="2"/>
        <v>3.0111390465469953E-2</v>
      </c>
      <c r="Y18" s="82"/>
      <c r="Z18" s="87"/>
      <c r="AA18" s="3"/>
      <c r="AB18" s="92" t="s">
        <v>322</v>
      </c>
      <c r="AC18" s="90">
        <f>SUM(X86:X88)</f>
        <v>27.804152750000004</v>
      </c>
      <c r="AD18" s="91"/>
      <c r="AE18" s="3"/>
      <c r="AF18" s="3"/>
      <c r="AG18" s="3"/>
    </row>
    <row r="19" spans="1:33" x14ac:dyDescent="0.25">
      <c r="A19" s="81"/>
      <c r="B19" s="82"/>
      <c r="C19" s="82"/>
      <c r="D19" s="82"/>
      <c r="E19" s="83">
        <f t="shared" si="0"/>
        <v>0.26546530415956548</v>
      </c>
      <c r="F19" s="84" t="s">
        <v>208</v>
      </c>
      <c r="G19" s="84" t="s">
        <v>349</v>
      </c>
      <c r="H19" s="84" t="s">
        <v>150</v>
      </c>
      <c r="I19" s="84" t="s">
        <v>176</v>
      </c>
      <c r="J19" s="84" t="s">
        <v>209</v>
      </c>
      <c r="K19" s="84">
        <v>4</v>
      </c>
      <c r="L19" s="84">
        <v>9</v>
      </c>
      <c r="M19" s="84">
        <v>1</v>
      </c>
      <c r="N19" s="84">
        <v>3</v>
      </c>
      <c r="O19" s="84">
        <v>0</v>
      </c>
      <c r="P19" s="84">
        <v>0</v>
      </c>
      <c r="Q19" s="84">
        <f t="shared" si="1"/>
        <v>119.12</v>
      </c>
      <c r="R19" s="85" t="s">
        <v>178</v>
      </c>
      <c r="S19" s="84">
        <f>Q19-$Q$91</f>
        <v>101.105</v>
      </c>
      <c r="T19" s="86">
        <f>'Amino acids and protein'!H18</f>
        <v>0.26546530415956548</v>
      </c>
      <c r="U19" s="84"/>
      <c r="V19" s="82"/>
      <c r="W19" s="82"/>
      <c r="X19" s="82">
        <f t="shared" si="2"/>
        <v>3.162222703148744E-2</v>
      </c>
      <c r="Y19" s="82"/>
      <c r="Z19" s="87"/>
      <c r="AA19" s="3"/>
      <c r="AB19" s="92" t="s">
        <v>320</v>
      </c>
      <c r="AC19" s="90">
        <f>AC17-AC18</f>
        <v>0</v>
      </c>
      <c r="AD19" s="91"/>
      <c r="AE19" s="3"/>
      <c r="AF19" s="3"/>
      <c r="AG19" s="3"/>
    </row>
    <row r="20" spans="1:33" x14ac:dyDescent="0.25">
      <c r="A20" s="81"/>
      <c r="B20" s="82"/>
      <c r="C20" s="82"/>
      <c r="D20" s="82"/>
      <c r="E20" s="83">
        <f>T20</f>
        <v>6.7029924312428976E-2</v>
      </c>
      <c r="F20" s="84" t="s">
        <v>210</v>
      </c>
      <c r="G20" s="84" t="s">
        <v>333</v>
      </c>
      <c r="H20" s="84" t="s">
        <v>150</v>
      </c>
      <c r="I20" s="84" t="s">
        <v>176</v>
      </c>
      <c r="J20" s="84" t="s">
        <v>211</v>
      </c>
      <c r="K20" s="84">
        <v>11</v>
      </c>
      <c r="L20" s="84">
        <v>12</v>
      </c>
      <c r="M20" s="84">
        <v>2</v>
      </c>
      <c r="N20" s="84">
        <v>2</v>
      </c>
      <c r="O20" s="84">
        <v>0</v>
      </c>
      <c r="P20" s="84">
        <v>0</v>
      </c>
      <c r="Q20" s="84">
        <f t="shared" si="1"/>
        <v>204.22899999999998</v>
      </c>
      <c r="R20" s="85" t="s">
        <v>178</v>
      </c>
      <c r="S20" s="84">
        <f>Q20-$Q$91</f>
        <v>186.214</v>
      </c>
      <c r="T20" s="86">
        <f>'Amino acids and protein'!H19</f>
        <v>6.7029924312428976E-2</v>
      </c>
      <c r="U20" s="84"/>
      <c r="V20" s="82"/>
      <c r="W20" s="82"/>
      <c r="X20" s="82">
        <f t="shared" si="2"/>
        <v>1.3689454412403056E-2</v>
      </c>
      <c r="Y20" s="82"/>
      <c r="Z20" s="87"/>
      <c r="AA20" s="3"/>
      <c r="AB20" s="3"/>
      <c r="AC20" s="3"/>
      <c r="AD20" s="3"/>
      <c r="AE20" s="3"/>
      <c r="AF20" s="3"/>
      <c r="AG20" s="3"/>
    </row>
    <row r="21" spans="1:33" x14ac:dyDescent="0.25">
      <c r="A21" s="81"/>
      <c r="B21" s="82"/>
      <c r="C21" s="82"/>
      <c r="D21" s="82"/>
      <c r="E21" s="83">
        <f t="shared" si="0"/>
        <v>0.13985098915342351</v>
      </c>
      <c r="F21" s="84" t="s">
        <v>212</v>
      </c>
      <c r="G21" s="84" t="s">
        <v>350</v>
      </c>
      <c r="H21" s="84" t="s">
        <v>150</v>
      </c>
      <c r="I21" s="84" t="s">
        <v>176</v>
      </c>
      <c r="J21" s="84" t="s">
        <v>213</v>
      </c>
      <c r="K21" s="84">
        <v>9</v>
      </c>
      <c r="L21" s="84">
        <v>11</v>
      </c>
      <c r="M21" s="84">
        <v>1</v>
      </c>
      <c r="N21" s="84">
        <v>3</v>
      </c>
      <c r="O21" s="84">
        <v>0</v>
      </c>
      <c r="P21" s="84">
        <v>0</v>
      </c>
      <c r="Q21" s="84">
        <f t="shared" si="1"/>
        <v>181.19099999999997</v>
      </c>
      <c r="R21" s="85" t="s">
        <v>178</v>
      </c>
      <c r="S21" s="84">
        <f>Q21-$Q$91</f>
        <v>163.17599999999999</v>
      </c>
      <c r="T21" s="86">
        <f>'Amino acids and protein'!H20</f>
        <v>0.13985098915342351</v>
      </c>
      <c r="U21" s="84"/>
      <c r="V21" s="82"/>
      <c r="W21" s="82"/>
      <c r="X21" s="82">
        <f t="shared" si="2"/>
        <v>2.5339740575697958E-2</v>
      </c>
      <c r="Y21" s="82"/>
      <c r="Z21" s="87"/>
      <c r="AA21" s="3"/>
      <c r="AB21" s="3"/>
      <c r="AC21" s="3"/>
      <c r="AD21" s="3"/>
      <c r="AE21" s="3"/>
      <c r="AF21" s="3"/>
      <c r="AG21" s="3"/>
    </row>
    <row r="22" spans="1:33" x14ac:dyDescent="0.25">
      <c r="A22" s="81"/>
      <c r="B22" s="82"/>
      <c r="C22" s="82"/>
      <c r="D22" s="82"/>
      <c r="E22" s="83">
        <f t="shared" si="0"/>
        <v>0.31863981644429928</v>
      </c>
      <c r="F22" s="84" t="s">
        <v>214</v>
      </c>
      <c r="G22" s="84" t="s">
        <v>351</v>
      </c>
      <c r="H22" s="84" t="s">
        <v>150</v>
      </c>
      <c r="I22" s="84" t="s">
        <v>176</v>
      </c>
      <c r="J22" s="84" t="s">
        <v>215</v>
      </c>
      <c r="K22" s="84">
        <v>5</v>
      </c>
      <c r="L22" s="84">
        <v>11</v>
      </c>
      <c r="M22" s="84">
        <v>1</v>
      </c>
      <c r="N22" s="84">
        <v>2</v>
      </c>
      <c r="O22" s="84">
        <v>0</v>
      </c>
      <c r="P22" s="84">
        <v>0</v>
      </c>
      <c r="Q22" s="84">
        <f t="shared" si="1"/>
        <v>117.14800000000001</v>
      </c>
      <c r="R22" s="85" t="s">
        <v>178</v>
      </c>
      <c r="S22" s="84">
        <f>Q22-$Q$91</f>
        <v>99.13300000000001</v>
      </c>
      <c r="T22" s="86">
        <f>'Amino acids and protein'!H21</f>
        <v>0.31863981644429928</v>
      </c>
      <c r="U22" s="84"/>
      <c r="V22" s="93">
        <f>SUM(T3:T22)</f>
        <v>4.5766184932256149</v>
      </c>
      <c r="W22" s="84" t="s">
        <v>1</v>
      </c>
      <c r="X22" s="82">
        <f t="shared" si="2"/>
        <v>3.7328017216816778E-2</v>
      </c>
      <c r="Y22" s="82">
        <f>SUM(X3:X22)</f>
        <v>0.59244778215545946</v>
      </c>
      <c r="Z22" s="94">
        <f>Y22-X91</f>
        <v>0.51</v>
      </c>
      <c r="AA22" s="3"/>
      <c r="AB22" s="49"/>
      <c r="AC22" s="3" t="s">
        <v>413</v>
      </c>
      <c r="AD22" s="3"/>
      <c r="AE22" s="3"/>
      <c r="AF22" s="3"/>
      <c r="AG22" s="3"/>
    </row>
    <row r="23" spans="1:33" x14ac:dyDescent="0.25">
      <c r="A23" s="95"/>
      <c r="B23" s="96" t="s">
        <v>437</v>
      </c>
      <c r="C23" s="96">
        <v>3.1E-2</v>
      </c>
      <c r="D23" s="96"/>
      <c r="E23" s="97">
        <f t="shared" si="0"/>
        <v>2.9034592035331919E-2</v>
      </c>
      <c r="F23" s="96" t="s">
        <v>149</v>
      </c>
      <c r="G23" s="96" t="s">
        <v>324</v>
      </c>
      <c r="H23" s="96" t="s">
        <v>150</v>
      </c>
      <c r="I23" s="96" t="s">
        <v>0</v>
      </c>
      <c r="J23" s="96" t="s">
        <v>151</v>
      </c>
      <c r="K23" s="96">
        <v>10</v>
      </c>
      <c r="L23" s="96">
        <v>12</v>
      </c>
      <c r="M23" s="96">
        <v>5</v>
      </c>
      <c r="N23" s="96">
        <v>12</v>
      </c>
      <c r="O23" s="96">
        <v>3</v>
      </c>
      <c r="P23" s="98">
        <v>0</v>
      </c>
      <c r="Q23" s="98">
        <f t="shared" si="1"/>
        <v>487.15099999999995</v>
      </c>
      <c r="R23" s="99" t="s">
        <v>152</v>
      </c>
      <c r="S23" s="100">
        <f>Q23-$Q$90</f>
        <v>312.20199999999994</v>
      </c>
      <c r="T23" s="101">
        <f>'DNA and RNA'!G3</f>
        <v>2.9034592035331919E-2</v>
      </c>
      <c r="U23" s="100"/>
      <c r="V23" s="96"/>
      <c r="W23" s="96"/>
      <c r="X23" s="96">
        <f t="shared" si="2"/>
        <v>1.4144230544603979E-2</v>
      </c>
      <c r="Y23" s="96"/>
      <c r="Z23" s="102"/>
      <c r="AA23" s="3"/>
      <c r="AB23" s="50"/>
      <c r="AC23" s="3" t="s">
        <v>276</v>
      </c>
      <c r="AD23" s="3"/>
      <c r="AE23" s="3"/>
      <c r="AF23" s="3"/>
      <c r="AG23" s="3"/>
    </row>
    <row r="24" spans="1:33" x14ac:dyDescent="0.25">
      <c r="A24" s="95"/>
      <c r="B24" s="100" t="s">
        <v>230</v>
      </c>
      <c r="C24" s="103" t="s">
        <v>231</v>
      </c>
      <c r="D24" s="103"/>
      <c r="E24" s="97">
        <f t="shared" si="0"/>
        <v>2.1432268033141254E-2</v>
      </c>
      <c r="F24" s="96" t="s">
        <v>153</v>
      </c>
      <c r="G24" s="96" t="s">
        <v>325</v>
      </c>
      <c r="H24" s="96" t="s">
        <v>150</v>
      </c>
      <c r="I24" s="96" t="s">
        <v>0</v>
      </c>
      <c r="J24" s="96" t="s">
        <v>154</v>
      </c>
      <c r="K24" s="96">
        <v>9</v>
      </c>
      <c r="L24" s="96">
        <v>10</v>
      </c>
      <c r="M24" s="96">
        <v>3</v>
      </c>
      <c r="N24" s="96">
        <v>13</v>
      </c>
      <c r="O24" s="96">
        <v>3</v>
      </c>
      <c r="P24" s="98">
        <v>0</v>
      </c>
      <c r="Q24" s="98">
        <f t="shared" si="1"/>
        <v>461.10900000000004</v>
      </c>
      <c r="R24" s="99" t="s">
        <v>152</v>
      </c>
      <c r="S24" s="100">
        <f>Q24-$Q$90</f>
        <v>286.16000000000003</v>
      </c>
      <c r="T24" s="101">
        <f>'DNA and RNA'!G4</f>
        <v>2.1432268033141254E-2</v>
      </c>
      <c r="U24" s="100"/>
      <c r="V24" s="96"/>
      <c r="W24" s="96"/>
      <c r="X24" s="96">
        <f t="shared" si="2"/>
        <v>9.882611680493732E-3</v>
      </c>
      <c r="Y24" s="96"/>
      <c r="Z24" s="102"/>
      <c r="AA24" s="3"/>
      <c r="AB24" s="51"/>
      <c r="AC24" s="3" t="s">
        <v>0</v>
      </c>
      <c r="AD24" s="3"/>
      <c r="AE24" s="3"/>
      <c r="AF24" s="3"/>
      <c r="AG24" s="3"/>
    </row>
    <row r="25" spans="1:33" x14ac:dyDescent="0.25">
      <c r="A25" s="210" t="s">
        <v>457</v>
      </c>
      <c r="B25" s="100" t="s">
        <v>230</v>
      </c>
      <c r="C25" s="96"/>
      <c r="D25" s="96"/>
      <c r="E25" s="97">
        <f t="shared" si="0"/>
        <v>2.1412403302322181E-2</v>
      </c>
      <c r="F25" s="96" t="s">
        <v>155</v>
      </c>
      <c r="G25" s="96" t="s">
        <v>326</v>
      </c>
      <c r="H25" s="96" t="s">
        <v>150</v>
      </c>
      <c r="I25" s="96" t="s">
        <v>0</v>
      </c>
      <c r="J25" s="96" t="s">
        <v>156</v>
      </c>
      <c r="K25" s="96">
        <v>10</v>
      </c>
      <c r="L25" s="96">
        <v>12</v>
      </c>
      <c r="M25" s="96">
        <v>5</v>
      </c>
      <c r="N25" s="96">
        <v>13</v>
      </c>
      <c r="O25" s="96">
        <v>3</v>
      </c>
      <c r="P25" s="98">
        <v>0</v>
      </c>
      <c r="Q25" s="98">
        <f t="shared" si="1"/>
        <v>503.15</v>
      </c>
      <c r="R25" s="99" t="s">
        <v>152</v>
      </c>
      <c r="S25" s="100">
        <f>Q25-$Q$90</f>
        <v>328.20099999999996</v>
      </c>
      <c r="T25" s="101">
        <f>'DNA and RNA'!G5</f>
        <v>2.1412403302322181E-2</v>
      </c>
      <c r="U25" s="100"/>
      <c r="V25" s="100"/>
      <c r="W25" s="96"/>
      <c r="X25" s="96">
        <f>(E25*Q25)/1000</f>
        <v>1.0773650721563404E-2</v>
      </c>
      <c r="Y25" s="96"/>
      <c r="Z25" s="102"/>
      <c r="AA25" s="3"/>
      <c r="AB25" s="52"/>
      <c r="AC25" s="3" t="s">
        <v>2</v>
      </c>
      <c r="AD25" s="3"/>
      <c r="AE25" s="3"/>
      <c r="AF25" s="3"/>
      <c r="AG25" s="3"/>
    </row>
    <row r="26" spans="1:33" x14ac:dyDescent="0.25">
      <c r="A26" s="211" t="s">
        <v>458</v>
      </c>
      <c r="B26" s="100" t="s">
        <v>230</v>
      </c>
      <c r="C26" s="96"/>
      <c r="D26" s="96"/>
      <c r="E26" s="97">
        <f t="shared" si="0"/>
        <v>2.8941584899076021E-2</v>
      </c>
      <c r="F26" s="96" t="s">
        <v>157</v>
      </c>
      <c r="G26" s="96" t="s">
        <v>327</v>
      </c>
      <c r="H26" s="96" t="s">
        <v>150</v>
      </c>
      <c r="I26" s="96" t="s">
        <v>0</v>
      </c>
      <c r="J26" s="96" t="s">
        <v>158</v>
      </c>
      <c r="K26" s="96">
        <v>10</v>
      </c>
      <c r="L26" s="96">
        <v>13</v>
      </c>
      <c r="M26" s="96">
        <v>2</v>
      </c>
      <c r="N26" s="96">
        <v>14</v>
      </c>
      <c r="O26" s="96">
        <v>3</v>
      </c>
      <c r="P26" s="98">
        <v>0</v>
      </c>
      <c r="Q26" s="98">
        <f t="shared" si="1"/>
        <v>478.13600000000008</v>
      </c>
      <c r="R26" s="99" t="s">
        <v>152</v>
      </c>
      <c r="S26" s="100">
        <f>Q26-$Q$90</f>
        <v>303.18700000000007</v>
      </c>
      <c r="T26" s="101">
        <f>'DNA and RNA'!G6</f>
        <v>2.8941584899076021E-2</v>
      </c>
      <c r="U26" s="100"/>
      <c r="V26" s="104">
        <f>SUM(T23:T26)</f>
        <v>0.10082084826987137</v>
      </c>
      <c r="W26" s="96" t="s">
        <v>0</v>
      </c>
      <c r="X26" s="96">
        <f t="shared" si="2"/>
        <v>1.3838013637304615E-2</v>
      </c>
      <c r="Y26" s="96">
        <f>SUM(X23:X26)</f>
        <v>4.8638506583965728E-2</v>
      </c>
      <c r="Z26" s="102">
        <f>Y26-X89</f>
        <v>3.1000000000000003E-2</v>
      </c>
      <c r="AA26" s="3"/>
      <c r="AB26" s="53"/>
      <c r="AC26" s="3" t="s">
        <v>176</v>
      </c>
      <c r="AD26" s="3"/>
      <c r="AE26" s="3"/>
      <c r="AF26" s="3"/>
      <c r="AG26" s="3"/>
    </row>
    <row r="27" spans="1:33" x14ac:dyDescent="0.25">
      <c r="A27" s="105"/>
      <c r="B27" s="106" t="s">
        <v>438</v>
      </c>
      <c r="C27" s="106">
        <v>0.17</v>
      </c>
      <c r="D27" s="106"/>
      <c r="E27" s="107">
        <f t="shared" si="0"/>
        <v>0.11104347716401547</v>
      </c>
      <c r="F27" s="106" t="s">
        <v>216</v>
      </c>
      <c r="G27" s="106" t="s">
        <v>328</v>
      </c>
      <c r="H27" s="106" t="s">
        <v>150</v>
      </c>
      <c r="I27" s="106" t="s">
        <v>2</v>
      </c>
      <c r="J27" s="106" t="s">
        <v>217</v>
      </c>
      <c r="K27" s="106">
        <v>9</v>
      </c>
      <c r="L27" s="106">
        <v>12</v>
      </c>
      <c r="M27" s="106">
        <v>3</v>
      </c>
      <c r="N27" s="106">
        <v>14</v>
      </c>
      <c r="O27" s="106">
        <v>3</v>
      </c>
      <c r="P27" s="108">
        <v>0</v>
      </c>
      <c r="Q27" s="108">
        <f t="shared" si="1"/>
        <v>479.12400000000002</v>
      </c>
      <c r="R27" s="109" t="s">
        <v>152</v>
      </c>
      <c r="S27" s="110">
        <f>Q27-$Q$90</f>
        <v>304.17500000000001</v>
      </c>
      <c r="T27" s="111">
        <f>'DNA and RNA'!G11</f>
        <v>0.11104347716401547</v>
      </c>
      <c r="U27" s="110"/>
      <c r="V27" s="110"/>
      <c r="W27" s="106"/>
      <c r="X27" s="106">
        <f t="shared" si="2"/>
        <v>5.3203594952731748E-2</v>
      </c>
      <c r="Y27" s="106"/>
      <c r="Z27" s="112"/>
      <c r="AA27" s="3"/>
      <c r="AB27" s="55"/>
      <c r="AC27" s="3" t="s">
        <v>299</v>
      </c>
      <c r="AD27" s="3"/>
      <c r="AE27" s="3"/>
      <c r="AF27" s="3"/>
      <c r="AG27" s="3"/>
    </row>
    <row r="28" spans="1:33" x14ac:dyDescent="0.25">
      <c r="A28" s="105"/>
      <c r="B28" s="106"/>
      <c r="C28" s="110"/>
      <c r="D28" s="110"/>
      <c r="E28" s="107">
        <f t="shared" si="0"/>
        <v>0.12011474683570302</v>
      </c>
      <c r="F28" s="106" t="s">
        <v>218</v>
      </c>
      <c r="G28" s="106" t="s">
        <v>329</v>
      </c>
      <c r="H28" s="106" t="s">
        <v>150</v>
      </c>
      <c r="I28" s="106" t="s">
        <v>2</v>
      </c>
      <c r="J28" s="106" t="s">
        <v>219</v>
      </c>
      <c r="K28" s="106">
        <v>10</v>
      </c>
      <c r="L28" s="106">
        <v>12</v>
      </c>
      <c r="M28" s="106">
        <v>5</v>
      </c>
      <c r="N28" s="106">
        <v>14</v>
      </c>
      <c r="O28" s="106">
        <v>3</v>
      </c>
      <c r="P28" s="108">
        <v>0</v>
      </c>
      <c r="Q28" s="108">
        <f t="shared" si="1"/>
        <v>519.149</v>
      </c>
      <c r="R28" s="109" t="s">
        <v>152</v>
      </c>
      <c r="S28" s="110">
        <f>Q28-$Q$90</f>
        <v>344.2</v>
      </c>
      <c r="T28" s="111">
        <f>'DNA and RNA'!G12</f>
        <v>0.12011474683570302</v>
      </c>
      <c r="U28" s="110"/>
      <c r="V28" s="110"/>
      <c r="W28" s="106"/>
      <c r="X28" s="106">
        <f t="shared" si="2"/>
        <v>6.235745070500838E-2</v>
      </c>
      <c r="Y28" s="106"/>
      <c r="Z28" s="112"/>
      <c r="AA28" s="3"/>
      <c r="AB28" s="57"/>
      <c r="AC28" s="3" t="s">
        <v>414</v>
      </c>
      <c r="AD28" s="3"/>
      <c r="AE28" s="3"/>
      <c r="AF28" s="3"/>
      <c r="AG28" s="3"/>
    </row>
    <row r="29" spans="1:33" x14ac:dyDescent="0.25">
      <c r="A29" s="250" t="s">
        <v>457</v>
      </c>
      <c r="B29" s="243"/>
      <c r="C29" s="244"/>
      <c r="D29" s="106"/>
      <c r="E29" s="107">
        <f t="shared" si="0"/>
        <v>0.14652870635792573</v>
      </c>
      <c r="F29" s="106" t="s">
        <v>220</v>
      </c>
      <c r="G29" s="106" t="s">
        <v>330</v>
      </c>
      <c r="H29" s="106" t="s">
        <v>150</v>
      </c>
      <c r="I29" s="106" t="s">
        <v>2</v>
      </c>
      <c r="J29" s="106" t="s">
        <v>221</v>
      </c>
      <c r="K29" s="106">
        <v>9</v>
      </c>
      <c r="L29" s="106">
        <v>11</v>
      </c>
      <c r="M29" s="106">
        <v>2</v>
      </c>
      <c r="N29" s="106">
        <v>15</v>
      </c>
      <c r="O29" s="106">
        <v>3</v>
      </c>
      <c r="P29" s="108">
        <v>0</v>
      </c>
      <c r="Q29" s="108">
        <f t="shared" si="1"/>
        <v>480.10800000000006</v>
      </c>
      <c r="R29" s="109" t="s">
        <v>152</v>
      </c>
      <c r="S29" s="110">
        <f>Q29-$Q$90</f>
        <v>305.15900000000005</v>
      </c>
      <c r="T29" s="111">
        <f>'DNA and RNA'!G13</f>
        <v>0.14652870635792573</v>
      </c>
      <c r="U29" s="110"/>
      <c r="V29" s="110"/>
      <c r="W29" s="106"/>
      <c r="X29" s="106">
        <f t="shared" si="2"/>
        <v>7.0349604152091016E-2</v>
      </c>
      <c r="Y29" s="106"/>
      <c r="Z29" s="112"/>
      <c r="AA29" s="3"/>
      <c r="AB29" s="56"/>
      <c r="AC29" s="3" t="s">
        <v>94</v>
      </c>
      <c r="AD29" s="3"/>
      <c r="AE29" s="3"/>
      <c r="AF29" s="3"/>
      <c r="AG29" s="3"/>
    </row>
    <row r="30" spans="1:33" x14ac:dyDescent="0.25">
      <c r="A30" s="251" t="s">
        <v>458</v>
      </c>
      <c r="B30" s="245"/>
      <c r="C30" s="246"/>
      <c r="D30" s="106"/>
      <c r="E30" s="107">
        <f t="shared" si="0"/>
        <v>0.1528493239487643</v>
      </c>
      <c r="F30" s="106" t="s">
        <v>232</v>
      </c>
      <c r="G30" s="106"/>
      <c r="H30" s="106" t="s">
        <v>150</v>
      </c>
      <c r="I30" s="106" t="s">
        <v>2</v>
      </c>
      <c r="J30" s="106" t="s">
        <v>156</v>
      </c>
      <c r="K30" s="106">
        <v>10</v>
      </c>
      <c r="L30" s="106">
        <v>12</v>
      </c>
      <c r="M30" s="106">
        <v>5</v>
      </c>
      <c r="N30" s="106">
        <v>13</v>
      </c>
      <c r="O30" s="106">
        <v>3</v>
      </c>
      <c r="P30" s="108">
        <v>0</v>
      </c>
      <c r="Q30" s="108">
        <f t="shared" si="1"/>
        <v>503.15</v>
      </c>
      <c r="R30" s="109" t="s">
        <v>152</v>
      </c>
      <c r="S30" s="110">
        <f>Q30-$Q$90</f>
        <v>328.20099999999996</v>
      </c>
      <c r="T30" s="111">
        <f>'DNA and RNA'!G14</f>
        <v>0.1528493239487643</v>
      </c>
      <c r="U30" s="110"/>
      <c r="V30" s="113">
        <f>SUM(T27:T30)</f>
        <v>0.53053625430640849</v>
      </c>
      <c r="W30" s="106" t="s">
        <v>2</v>
      </c>
      <c r="X30" s="106">
        <f>(E30*Q30)/1000</f>
        <v>7.6906137344820755E-2</v>
      </c>
      <c r="Y30" s="106">
        <f>SUM(X27:X30)</f>
        <v>0.2628167871546519</v>
      </c>
      <c r="Z30" s="112">
        <f>Y30-X90</f>
        <v>0.17000000000000004</v>
      </c>
      <c r="AA30" s="3"/>
      <c r="AB30" s="58"/>
      <c r="AC30" s="3" t="s">
        <v>98</v>
      </c>
      <c r="AD30" s="3"/>
      <c r="AE30" s="3"/>
      <c r="AF30" s="3"/>
      <c r="AG30" s="3"/>
    </row>
    <row r="31" spans="1:33" x14ac:dyDescent="0.25">
      <c r="A31" s="114"/>
      <c r="B31" s="115" t="s">
        <v>464</v>
      </c>
      <c r="C31" s="115">
        <v>3.2299999999999998E-3</v>
      </c>
      <c r="D31" s="115">
        <f>X31*1000</f>
        <v>3.23</v>
      </c>
      <c r="E31" s="116">
        <f>T31</f>
        <v>6.0161523446230882E-3</v>
      </c>
      <c r="F31" s="115" t="s">
        <v>300</v>
      </c>
      <c r="G31" s="115" t="s">
        <v>431</v>
      </c>
      <c r="H31" s="115" t="s">
        <v>150</v>
      </c>
      <c r="I31" s="115" t="s">
        <v>299</v>
      </c>
      <c r="J31" s="123" t="s">
        <v>301</v>
      </c>
      <c r="K31" s="115">
        <v>40</v>
      </c>
      <c r="L31" s="115">
        <v>56</v>
      </c>
      <c r="M31" s="115">
        <v>0</v>
      </c>
      <c r="N31" s="115">
        <v>0</v>
      </c>
      <c r="O31" s="115">
        <v>0</v>
      </c>
      <c r="P31" s="115">
        <v>0</v>
      </c>
      <c r="Q31" s="115">
        <f>(K31*12.011)+(L31*1.008)+(N31*15.999)+(14.007*M31)+(O31*30.974)+(P31*32.066)</f>
        <v>536.88799999999992</v>
      </c>
      <c r="R31" s="117" t="s">
        <v>235</v>
      </c>
      <c r="S31" s="118">
        <f t="shared" ref="S31" si="3">Q31</f>
        <v>536.88799999999992</v>
      </c>
      <c r="T31" s="119">
        <f>D31/S31</f>
        <v>6.0161523446230882E-3</v>
      </c>
      <c r="U31" s="115"/>
      <c r="V31" s="124"/>
      <c r="W31" s="115"/>
      <c r="X31" s="115">
        <f>C$31</f>
        <v>3.2299999999999998E-3</v>
      </c>
      <c r="Y31" s="121"/>
      <c r="Z31" s="125"/>
      <c r="AA31" s="126"/>
      <c r="AB31" s="127"/>
      <c r="AC31" s="68"/>
      <c r="AD31" s="68"/>
      <c r="AE31" s="68"/>
      <c r="AF31" s="122"/>
      <c r="AG31" s="3"/>
    </row>
    <row r="32" spans="1:33" ht="15.75" thickBot="1" x14ac:dyDescent="0.3">
      <c r="A32" s="237" t="s">
        <v>482</v>
      </c>
      <c r="B32" s="238"/>
      <c r="C32" s="115"/>
      <c r="D32" s="115"/>
      <c r="E32" s="116"/>
      <c r="F32" s="115"/>
      <c r="G32" s="115"/>
      <c r="H32" s="115"/>
      <c r="I32" s="115"/>
      <c r="J32" s="115"/>
      <c r="K32" s="115"/>
      <c r="L32" s="115"/>
      <c r="M32" s="115"/>
      <c r="N32" s="128"/>
      <c r="O32" s="128"/>
      <c r="P32" s="128"/>
      <c r="Q32" s="128"/>
      <c r="R32" s="117"/>
      <c r="S32" s="118"/>
      <c r="T32" s="119"/>
      <c r="U32" s="128"/>
      <c r="V32" s="118"/>
      <c r="W32" s="120"/>
      <c r="X32" s="115"/>
      <c r="Y32" s="121"/>
      <c r="Z32" s="129"/>
      <c r="AA32" s="68"/>
      <c r="AB32" s="68"/>
      <c r="AC32" s="68"/>
      <c r="AD32" s="68"/>
      <c r="AE32" s="68"/>
      <c r="AF32" s="122"/>
      <c r="AG32" s="68"/>
    </row>
    <row r="33" spans="1:33" x14ac:dyDescent="0.25">
      <c r="A33" s="130"/>
      <c r="B33" s="131" t="s">
        <v>439</v>
      </c>
      <c r="C33" s="256">
        <v>0.04</v>
      </c>
      <c r="D33" s="257"/>
      <c r="E33" s="257">
        <v>2.8781119585551901E-3</v>
      </c>
      <c r="F33" s="255" t="s">
        <v>240</v>
      </c>
      <c r="G33" s="255" t="s">
        <v>382</v>
      </c>
      <c r="H33" s="255" t="s">
        <v>150</v>
      </c>
      <c r="I33" s="255" t="s">
        <v>241</v>
      </c>
      <c r="J33" s="255" t="s">
        <v>242</v>
      </c>
      <c r="K33" s="255">
        <v>4</v>
      </c>
      <c r="L33" s="255">
        <v>14</v>
      </c>
      <c r="M33" s="255">
        <v>2</v>
      </c>
      <c r="N33" s="255">
        <v>0</v>
      </c>
      <c r="O33" s="255">
        <v>0</v>
      </c>
      <c r="P33" s="255">
        <v>0</v>
      </c>
      <c r="Q33" s="255">
        <f>(K33*12.011)+(L33*1.008)+(N33*15.999)+(14.007*M33)+(O33*30.974)+(P33*32.066)</f>
        <v>90.17</v>
      </c>
      <c r="R33" s="258" t="s">
        <v>235</v>
      </c>
      <c r="S33" s="259">
        <f>Q33</f>
        <v>90.17</v>
      </c>
      <c r="T33" s="260">
        <f>X33*1000/Q33</f>
        <v>2.8781119585551897E-3</v>
      </c>
      <c r="U33" s="259"/>
      <c r="V33" s="259"/>
      <c r="W33" s="261"/>
      <c r="X33" s="255">
        <f>(E33*Q33)/1000</f>
        <v>2.5951935530292146E-4</v>
      </c>
      <c r="Y33" s="257"/>
      <c r="Z33" s="262"/>
      <c r="AA33" s="3"/>
      <c r="AB33" s="3"/>
      <c r="AC33" s="3"/>
      <c r="AD33" s="3"/>
      <c r="AE33" s="3"/>
      <c r="AF33" s="3"/>
      <c r="AG33" s="3"/>
    </row>
    <row r="34" spans="1:33" x14ac:dyDescent="0.25">
      <c r="A34" s="130"/>
      <c r="B34" s="131"/>
      <c r="C34" s="247"/>
      <c r="D34" s="132"/>
      <c r="E34" s="132">
        <v>2.8781119585551901E-3</v>
      </c>
      <c r="F34" s="131" t="s">
        <v>243</v>
      </c>
      <c r="G34" s="131" t="s">
        <v>389</v>
      </c>
      <c r="H34" s="131" t="s">
        <v>150</v>
      </c>
      <c r="I34" s="131" t="s">
        <v>241</v>
      </c>
      <c r="J34" s="131" t="s">
        <v>244</v>
      </c>
      <c r="K34" s="131">
        <v>7</v>
      </c>
      <c r="L34" s="131">
        <v>22</v>
      </c>
      <c r="M34" s="131">
        <v>3</v>
      </c>
      <c r="N34" s="131">
        <v>0</v>
      </c>
      <c r="O34" s="131">
        <v>0</v>
      </c>
      <c r="P34" s="131">
        <v>0</v>
      </c>
      <c r="Q34" s="131">
        <f>(K34*12.011)+(L34*1.008)+(N34*15.999)+(14.007*M34)+(O34*30.974)+(P34*32.066)</f>
        <v>148.274</v>
      </c>
      <c r="R34" s="133" t="s">
        <v>235</v>
      </c>
      <c r="S34" s="134">
        <f>Q34</f>
        <v>148.274</v>
      </c>
      <c r="T34" s="135">
        <f t="shared" ref="T34:T72" si="4">X34*1000/Q34</f>
        <v>2.8781119585551901E-3</v>
      </c>
      <c r="U34" s="131"/>
      <c r="V34" s="134"/>
      <c r="W34" s="136"/>
      <c r="X34" s="131">
        <f t="shared" ref="X33:X72" si="5">(E34*Q34)/1000</f>
        <v>4.2674917254281226E-4</v>
      </c>
      <c r="Y34" s="137"/>
      <c r="Z34" s="213"/>
      <c r="AA34" s="3"/>
      <c r="AB34" s="3"/>
      <c r="AC34" s="3"/>
      <c r="AD34" s="3"/>
      <c r="AE34" s="3"/>
      <c r="AF34" s="3"/>
      <c r="AG34" s="3"/>
    </row>
    <row r="35" spans="1:33" x14ac:dyDescent="0.25">
      <c r="A35" s="272" t="s">
        <v>479</v>
      </c>
      <c r="B35" s="131"/>
      <c r="C35" s="132"/>
      <c r="D35" s="132"/>
      <c r="E35" s="132">
        <v>2.8781119585551901E-3</v>
      </c>
      <c r="F35" s="131" t="s">
        <v>246</v>
      </c>
      <c r="G35" s="131" t="s">
        <v>364</v>
      </c>
      <c r="H35" s="131" t="s">
        <v>150</v>
      </c>
      <c r="I35" s="131" t="s">
        <v>245</v>
      </c>
      <c r="J35" s="131" t="s">
        <v>247</v>
      </c>
      <c r="K35" s="131">
        <v>21</v>
      </c>
      <c r="L35" s="131">
        <v>32</v>
      </c>
      <c r="M35" s="131">
        <v>7</v>
      </c>
      <c r="N35" s="138">
        <v>16</v>
      </c>
      <c r="O35" s="138">
        <v>3</v>
      </c>
      <c r="P35" s="138">
        <v>1</v>
      </c>
      <c r="Q35" s="138">
        <f t="shared" ref="Q35:Q42" si="6">(K35*12.011)+(L35*1.008)+(N35*15.999)+(14.007*M35)+(O35*30.974)+(P35*32.066)</f>
        <v>763.50800000000004</v>
      </c>
      <c r="R35" s="133" t="s">
        <v>235</v>
      </c>
      <c r="S35" s="134">
        <f t="shared" ref="S35:S60" si="7">Q35</f>
        <v>763.50800000000004</v>
      </c>
      <c r="T35" s="135">
        <f t="shared" si="4"/>
        <v>2.8781119585551901E-3</v>
      </c>
      <c r="U35" s="138"/>
      <c r="V35" s="138"/>
      <c r="W35" s="137"/>
      <c r="X35" s="131">
        <f t="shared" si="5"/>
        <v>2.1974615052525563E-3</v>
      </c>
      <c r="Y35" s="137"/>
      <c r="Z35" s="212"/>
      <c r="AA35" s="3"/>
      <c r="AB35" s="3"/>
      <c r="AC35" s="3"/>
      <c r="AD35" s="3"/>
      <c r="AE35" s="3"/>
      <c r="AF35" s="3"/>
      <c r="AG35" s="3"/>
    </row>
    <row r="36" spans="1:33" x14ac:dyDescent="0.25">
      <c r="A36" s="273" t="s">
        <v>480</v>
      </c>
      <c r="B36" s="131"/>
      <c r="C36" s="132"/>
      <c r="D36" s="132"/>
      <c r="E36" s="132">
        <v>2.8781119585551901E-3</v>
      </c>
      <c r="F36" s="131" t="s">
        <v>248</v>
      </c>
      <c r="G36" s="131" t="s">
        <v>379</v>
      </c>
      <c r="H36" s="131" t="s">
        <v>150</v>
      </c>
      <c r="I36" s="131" t="s">
        <v>245</v>
      </c>
      <c r="J36" s="131" t="s">
        <v>249</v>
      </c>
      <c r="K36" s="131">
        <v>21</v>
      </c>
      <c r="L36" s="131">
        <v>26</v>
      </c>
      <c r="M36" s="131">
        <v>7</v>
      </c>
      <c r="N36" s="138">
        <v>14</v>
      </c>
      <c r="O36" s="138">
        <v>2</v>
      </c>
      <c r="P36" s="138">
        <v>0</v>
      </c>
      <c r="Q36" s="138">
        <f t="shared" si="6"/>
        <v>662.42199999999991</v>
      </c>
      <c r="R36" s="133" t="s">
        <v>235</v>
      </c>
      <c r="S36" s="134">
        <f>Q36</f>
        <v>662.42199999999991</v>
      </c>
      <c r="T36" s="135">
        <f t="shared" si="4"/>
        <v>2.8781119585551901E-3</v>
      </c>
      <c r="U36" s="138"/>
      <c r="V36" s="138"/>
      <c r="W36" s="137"/>
      <c r="X36" s="131">
        <f t="shared" si="5"/>
        <v>1.9065246798100459E-3</v>
      </c>
      <c r="Y36" s="137"/>
      <c r="Z36" s="212"/>
      <c r="AA36" s="3"/>
      <c r="AB36" s="3"/>
      <c r="AC36" s="3"/>
      <c r="AD36" s="3"/>
      <c r="AE36" s="3"/>
      <c r="AF36" s="3"/>
      <c r="AG36" s="3"/>
    </row>
    <row r="37" spans="1:33" x14ac:dyDescent="0.25">
      <c r="A37" s="274" t="s">
        <v>481</v>
      </c>
      <c r="B37" s="131"/>
      <c r="C37" s="132"/>
      <c r="D37" s="132"/>
      <c r="E37" s="132">
        <v>2.8781119585551901E-3</v>
      </c>
      <c r="F37" s="131" t="s">
        <v>250</v>
      </c>
      <c r="G37" s="131" t="s">
        <v>381</v>
      </c>
      <c r="H37" s="131" t="s">
        <v>150</v>
      </c>
      <c r="I37" s="131" t="s">
        <v>245</v>
      </c>
      <c r="J37" s="131" t="s">
        <v>251</v>
      </c>
      <c r="K37" s="131">
        <v>21</v>
      </c>
      <c r="L37" s="131">
        <v>25</v>
      </c>
      <c r="M37" s="131">
        <v>7</v>
      </c>
      <c r="N37" s="138">
        <v>17</v>
      </c>
      <c r="O37" s="138">
        <v>3</v>
      </c>
      <c r="P37" s="138">
        <v>0</v>
      </c>
      <c r="Q37" s="138">
        <f t="shared" si="6"/>
        <v>740.38499999999999</v>
      </c>
      <c r="R37" s="133" t="s">
        <v>235</v>
      </c>
      <c r="S37" s="134">
        <f>Q37</f>
        <v>740.38499999999999</v>
      </c>
      <c r="T37" s="135">
        <f t="shared" si="4"/>
        <v>2.8781119585551901E-3</v>
      </c>
      <c r="U37" s="138"/>
      <c r="V37" s="138"/>
      <c r="W37" s="137"/>
      <c r="X37" s="131">
        <f t="shared" si="5"/>
        <v>2.1309109224348847E-3</v>
      </c>
      <c r="Y37" s="137"/>
      <c r="Z37" s="212"/>
      <c r="AA37" s="3"/>
      <c r="AB37" s="3"/>
      <c r="AC37" s="3"/>
      <c r="AD37" s="3"/>
      <c r="AE37" s="3"/>
      <c r="AF37" s="3"/>
      <c r="AG37" s="3"/>
    </row>
    <row r="38" spans="1:33" x14ac:dyDescent="0.25">
      <c r="A38" s="130"/>
      <c r="B38" s="131"/>
      <c r="C38" s="132"/>
      <c r="D38" s="132"/>
      <c r="E38" s="132">
        <v>2.8781119585551901E-3</v>
      </c>
      <c r="F38" s="131" t="s">
        <v>252</v>
      </c>
      <c r="G38" s="131" t="s">
        <v>366</v>
      </c>
      <c r="H38" s="131" t="s">
        <v>150</v>
      </c>
      <c r="I38" s="131" t="s">
        <v>245</v>
      </c>
      <c r="J38" s="131" t="s">
        <v>253</v>
      </c>
      <c r="K38" s="131">
        <v>27</v>
      </c>
      <c r="L38" s="131">
        <v>31</v>
      </c>
      <c r="M38" s="131">
        <v>9</v>
      </c>
      <c r="N38" s="138">
        <v>15</v>
      </c>
      <c r="O38" s="138">
        <v>2</v>
      </c>
      <c r="P38" s="138">
        <v>0</v>
      </c>
      <c r="Q38" s="138">
        <f t="shared" si="6"/>
        <v>783.54099999999994</v>
      </c>
      <c r="R38" s="133" t="s">
        <v>235</v>
      </c>
      <c r="S38" s="134">
        <f t="shared" si="7"/>
        <v>783.54099999999994</v>
      </c>
      <c r="T38" s="135">
        <f t="shared" si="4"/>
        <v>2.8781119585551906E-3</v>
      </c>
      <c r="U38" s="138"/>
      <c r="V38" s="138"/>
      <c r="W38" s="137"/>
      <c r="X38" s="131">
        <f t="shared" si="5"/>
        <v>2.2551187221182922E-3</v>
      </c>
      <c r="Y38" s="137"/>
      <c r="Z38" s="212"/>
      <c r="AA38" s="3"/>
      <c r="AB38" s="3"/>
      <c r="AC38" s="3"/>
      <c r="AD38" s="3"/>
      <c r="AE38" s="3"/>
      <c r="AF38" s="3"/>
      <c r="AG38" s="3"/>
    </row>
    <row r="39" spans="1:33" x14ac:dyDescent="0.25">
      <c r="A39" s="130"/>
      <c r="B39" s="131"/>
      <c r="C39" s="132"/>
      <c r="D39" s="132"/>
      <c r="E39" s="132">
        <v>2.8781119585551901E-3</v>
      </c>
      <c r="F39" s="131" t="s">
        <v>254</v>
      </c>
      <c r="G39" s="131" t="s">
        <v>391</v>
      </c>
      <c r="H39" s="131" t="s">
        <v>150</v>
      </c>
      <c r="I39" s="131" t="s">
        <v>245</v>
      </c>
      <c r="J39" s="131" t="s">
        <v>255</v>
      </c>
      <c r="K39" s="131">
        <v>19</v>
      </c>
      <c r="L39" s="131">
        <v>21</v>
      </c>
      <c r="M39" s="131">
        <v>7</v>
      </c>
      <c r="N39" s="138">
        <v>6</v>
      </c>
      <c r="O39" s="138">
        <v>0</v>
      </c>
      <c r="P39" s="138">
        <v>0</v>
      </c>
      <c r="Q39" s="138">
        <f t="shared" si="6"/>
        <v>443.41999999999996</v>
      </c>
      <c r="R39" s="133" t="s">
        <v>235</v>
      </c>
      <c r="S39" s="134">
        <f t="shared" si="7"/>
        <v>443.41999999999996</v>
      </c>
      <c r="T39" s="135">
        <f t="shared" si="4"/>
        <v>2.8781119585551901E-3</v>
      </c>
      <c r="U39" s="138"/>
      <c r="V39" s="138"/>
      <c r="W39" s="137"/>
      <c r="X39" s="131">
        <f t="shared" si="5"/>
        <v>1.2762124046625423E-3</v>
      </c>
      <c r="Y39" s="137"/>
      <c r="Z39" s="212"/>
      <c r="AA39" s="3"/>
      <c r="AB39" s="3"/>
      <c r="AC39" s="3"/>
      <c r="AD39" s="3"/>
      <c r="AE39" s="3"/>
      <c r="AF39" s="3"/>
      <c r="AG39" s="3"/>
    </row>
    <row r="40" spans="1:33" x14ac:dyDescent="0.25">
      <c r="A40" s="130"/>
      <c r="B40" s="131"/>
      <c r="C40" s="132"/>
      <c r="D40" s="132"/>
      <c r="E40" s="132">
        <v>2.8781119585551901E-3</v>
      </c>
      <c r="F40" s="131" t="s">
        <v>256</v>
      </c>
      <c r="G40" s="131" t="s">
        <v>357</v>
      </c>
      <c r="H40" s="131" t="s">
        <v>150</v>
      </c>
      <c r="I40" s="131" t="s">
        <v>245</v>
      </c>
      <c r="J40" s="131" t="s">
        <v>257</v>
      </c>
      <c r="K40" s="131">
        <v>20</v>
      </c>
      <c r="L40" s="131">
        <v>21</v>
      </c>
      <c r="M40" s="131">
        <v>7</v>
      </c>
      <c r="N40" s="138">
        <v>6</v>
      </c>
      <c r="O40" s="138">
        <v>0</v>
      </c>
      <c r="P40" s="138">
        <v>0</v>
      </c>
      <c r="Q40" s="138">
        <f t="shared" si="6"/>
        <v>455.43099999999993</v>
      </c>
      <c r="R40" s="133" t="s">
        <v>235</v>
      </c>
      <c r="S40" s="134">
        <f>Q40</f>
        <v>455.43099999999993</v>
      </c>
      <c r="T40" s="135">
        <f t="shared" si="4"/>
        <v>2.8781119585551901E-3</v>
      </c>
      <c r="U40" s="138"/>
      <c r="V40" s="138"/>
      <c r="W40" s="137"/>
      <c r="X40" s="131">
        <f t="shared" si="5"/>
        <v>1.3107814073967485E-3</v>
      </c>
      <c r="Y40" s="137"/>
      <c r="Z40" s="212"/>
      <c r="AA40" s="3"/>
      <c r="AB40" s="3"/>
      <c r="AC40" s="3"/>
      <c r="AD40" s="3"/>
      <c r="AE40" s="3"/>
      <c r="AF40" s="3"/>
      <c r="AG40" s="3"/>
    </row>
    <row r="41" spans="1:33" x14ac:dyDescent="0.25">
      <c r="A41" s="130"/>
      <c r="B41" s="131"/>
      <c r="C41" s="132"/>
      <c r="D41" s="132"/>
      <c r="E41" s="132">
        <v>2.8781119585551901E-3</v>
      </c>
      <c r="F41" s="131" t="s">
        <v>258</v>
      </c>
      <c r="G41" s="131" t="s">
        <v>392</v>
      </c>
      <c r="H41" s="131" t="s">
        <v>150</v>
      </c>
      <c r="I41" s="131" t="s">
        <v>245</v>
      </c>
      <c r="J41" s="131" t="s">
        <v>259</v>
      </c>
      <c r="K41" s="131">
        <v>12</v>
      </c>
      <c r="L41" s="131">
        <v>16</v>
      </c>
      <c r="M41" s="131">
        <v>4</v>
      </c>
      <c r="N41" s="138">
        <v>7</v>
      </c>
      <c r="O41" s="138">
        <v>2</v>
      </c>
      <c r="P41" s="138">
        <v>1</v>
      </c>
      <c r="Q41" s="138">
        <f t="shared" si="6"/>
        <v>422.29499999999996</v>
      </c>
      <c r="R41" s="133" t="s">
        <v>235</v>
      </c>
      <c r="S41" s="134">
        <f t="shared" si="7"/>
        <v>422.29499999999996</v>
      </c>
      <c r="T41" s="135">
        <f t="shared" si="4"/>
        <v>2.8781119585551901E-3</v>
      </c>
      <c r="U41" s="138"/>
      <c r="V41" s="138"/>
      <c r="W41" s="137"/>
      <c r="X41" s="131">
        <f t="shared" si="5"/>
        <v>1.215412289538064E-3</v>
      </c>
      <c r="Y41" s="137"/>
      <c r="Z41" s="212"/>
      <c r="AA41" s="3"/>
      <c r="AB41" s="3"/>
      <c r="AC41" s="3"/>
      <c r="AD41" s="3"/>
      <c r="AE41" s="3"/>
      <c r="AF41" s="3"/>
      <c r="AG41" s="3"/>
    </row>
    <row r="42" spans="1:33" x14ac:dyDescent="0.25">
      <c r="A42" s="130"/>
      <c r="B42" s="131"/>
      <c r="C42" s="132"/>
      <c r="D42" s="132"/>
      <c r="E42" s="132">
        <v>2.8781119585551901E-3</v>
      </c>
      <c r="F42" s="131" t="s">
        <v>260</v>
      </c>
      <c r="G42" s="131" t="s">
        <v>383</v>
      </c>
      <c r="H42" s="131" t="s">
        <v>150</v>
      </c>
      <c r="I42" s="131" t="s">
        <v>245</v>
      </c>
      <c r="J42" s="131" t="s">
        <v>261</v>
      </c>
      <c r="K42" s="131">
        <v>8</v>
      </c>
      <c r="L42" s="131">
        <v>8</v>
      </c>
      <c r="M42" s="131">
        <v>1</v>
      </c>
      <c r="N42" s="138">
        <v>6</v>
      </c>
      <c r="O42" s="138">
        <v>1</v>
      </c>
      <c r="P42" s="138">
        <v>0</v>
      </c>
      <c r="Q42" s="138">
        <f t="shared" si="6"/>
        <v>245.12699999999998</v>
      </c>
      <c r="R42" s="133" t="s">
        <v>235</v>
      </c>
      <c r="S42" s="134">
        <f t="shared" si="7"/>
        <v>245.12699999999998</v>
      </c>
      <c r="T42" s="135">
        <f t="shared" si="4"/>
        <v>2.8781119585551901E-3</v>
      </c>
      <c r="U42" s="138"/>
      <c r="V42" s="138"/>
      <c r="W42" s="137"/>
      <c r="X42" s="131">
        <f t="shared" si="5"/>
        <v>7.0550295006475809E-4</v>
      </c>
      <c r="Y42" s="137"/>
      <c r="Z42" s="212"/>
      <c r="AA42" s="3"/>
      <c r="AB42" s="3"/>
      <c r="AC42" s="3"/>
      <c r="AD42" s="3"/>
      <c r="AE42" s="3"/>
      <c r="AF42" s="3"/>
      <c r="AG42" s="3"/>
    </row>
    <row r="43" spans="1:33" x14ac:dyDescent="0.25">
      <c r="A43" s="130"/>
      <c r="B43" s="131"/>
      <c r="C43" s="132"/>
      <c r="D43" s="132"/>
      <c r="E43" s="132">
        <v>2.8781119585551901E-3</v>
      </c>
      <c r="F43" s="131" t="s">
        <v>262</v>
      </c>
      <c r="G43" s="131" t="s">
        <v>372</v>
      </c>
      <c r="H43" s="131" t="s">
        <v>150</v>
      </c>
      <c r="I43" s="131" t="s">
        <v>245</v>
      </c>
      <c r="J43" s="131" t="s">
        <v>263</v>
      </c>
      <c r="K43" s="131">
        <v>39</v>
      </c>
      <c r="L43" s="131">
        <v>30</v>
      </c>
      <c r="M43" s="131">
        <v>4</v>
      </c>
      <c r="N43" s="138">
        <v>5</v>
      </c>
      <c r="O43" s="138">
        <v>0</v>
      </c>
      <c r="P43" s="138">
        <v>0</v>
      </c>
      <c r="Q43" s="138">
        <f>(K43*12.011)+(L43*1.008)+(N43*15.999)+(14.007*M43)+(O43*30.974)+(P43*32.066)+O26</f>
        <v>637.69200000000001</v>
      </c>
      <c r="R43" s="133" t="s">
        <v>235</v>
      </c>
      <c r="S43" s="134">
        <f>Q43</f>
        <v>637.69200000000001</v>
      </c>
      <c r="T43" s="135">
        <f t="shared" si="4"/>
        <v>2.8781119585551901E-3</v>
      </c>
      <c r="U43" s="138"/>
      <c r="V43" s="138"/>
      <c r="W43" s="137"/>
      <c r="X43" s="131">
        <f t="shared" si="5"/>
        <v>1.8353489710749764E-3</v>
      </c>
      <c r="Y43" s="137"/>
      <c r="Z43" s="212"/>
      <c r="AA43" s="3"/>
      <c r="AB43" s="3"/>
      <c r="AC43" s="3"/>
      <c r="AD43" s="3"/>
      <c r="AE43" s="3"/>
      <c r="AF43" s="3"/>
      <c r="AG43" s="3"/>
    </row>
    <row r="44" spans="1:33" x14ac:dyDescent="0.25">
      <c r="A44" s="130"/>
      <c r="B44" s="131"/>
      <c r="C44" s="132"/>
      <c r="D44" s="132"/>
      <c r="E44" s="132">
        <v>2.8781119585551901E-3</v>
      </c>
      <c r="F44" s="131" t="s">
        <v>264</v>
      </c>
      <c r="G44" s="131" t="s">
        <v>371</v>
      </c>
      <c r="H44" s="131" t="s">
        <v>150</v>
      </c>
      <c r="I44" s="131" t="s">
        <v>245</v>
      </c>
      <c r="J44" s="131" t="s">
        <v>265</v>
      </c>
      <c r="K44" s="131">
        <v>10</v>
      </c>
      <c r="L44" s="131">
        <v>16</v>
      </c>
      <c r="M44" s="131">
        <v>3</v>
      </c>
      <c r="N44" s="138">
        <v>6</v>
      </c>
      <c r="O44" s="138">
        <v>0</v>
      </c>
      <c r="P44" s="138">
        <v>1</v>
      </c>
      <c r="Q44" s="138">
        <f>(K44*12.011)+(L44*1.008)+(N44*15.999)+(14.007*M44)+(O44*30.974)+(P44*32.066)</f>
        <v>306.31899999999996</v>
      </c>
      <c r="R44" s="133" t="s">
        <v>235</v>
      </c>
      <c r="S44" s="134">
        <f t="shared" si="7"/>
        <v>306.31899999999996</v>
      </c>
      <c r="T44" s="135">
        <f t="shared" si="4"/>
        <v>2.8781119585551901E-3</v>
      </c>
      <c r="U44" s="138"/>
      <c r="V44" s="138"/>
      <c r="W44" s="137"/>
      <c r="X44" s="131">
        <f t="shared" si="5"/>
        <v>8.8162037703266719E-4</v>
      </c>
      <c r="Y44" s="137"/>
      <c r="Z44" s="212"/>
      <c r="AA44" s="3"/>
      <c r="AB44" s="3"/>
      <c r="AC44" s="3"/>
      <c r="AD44" s="3"/>
      <c r="AE44" s="3"/>
      <c r="AF44" s="3"/>
      <c r="AG44" s="3"/>
    </row>
    <row r="45" spans="1:33" x14ac:dyDescent="0.25">
      <c r="A45" s="130"/>
      <c r="B45" s="131"/>
      <c r="C45" s="132"/>
      <c r="D45" s="132"/>
      <c r="E45" s="132">
        <v>2.8781119585551901E-3</v>
      </c>
      <c r="F45" s="131" t="s">
        <v>266</v>
      </c>
      <c r="G45" s="131" t="s">
        <v>361</v>
      </c>
      <c r="H45" s="131" t="s">
        <v>150</v>
      </c>
      <c r="I45" s="131" t="s">
        <v>245</v>
      </c>
      <c r="J45" s="131" t="s">
        <v>267</v>
      </c>
      <c r="K45" s="131">
        <v>72</v>
      </c>
      <c r="L45" s="131">
        <v>100</v>
      </c>
      <c r="M45" s="131">
        <v>18</v>
      </c>
      <c r="N45" s="138">
        <v>17</v>
      </c>
      <c r="O45" s="138">
        <v>1</v>
      </c>
      <c r="P45" s="138">
        <v>0</v>
      </c>
      <c r="Q45" s="138">
        <f>(K45*12.011)+(L45*1.008)+(N45*15.999)+(14.007*M45)+(O45*30.974)+(P45*32.066)</f>
        <v>1520.6749999999997</v>
      </c>
      <c r="R45" s="133" t="s">
        <v>235</v>
      </c>
      <c r="S45" s="134">
        <f t="shared" si="7"/>
        <v>1520.6749999999997</v>
      </c>
      <c r="T45" s="135">
        <f t="shared" si="4"/>
        <v>2.8781119585551901E-3</v>
      </c>
      <c r="U45" s="138"/>
      <c r="V45" s="138"/>
      <c r="W45" s="137"/>
      <c r="X45" s="131">
        <f t="shared" si="5"/>
        <v>4.3766729025759132E-3</v>
      </c>
      <c r="Y45" s="137"/>
      <c r="Z45" s="212"/>
      <c r="AA45" s="3"/>
      <c r="AB45" s="3"/>
      <c r="AC45" s="3"/>
      <c r="AD45" s="3"/>
      <c r="AE45" s="3"/>
      <c r="AF45" s="3"/>
      <c r="AG45" s="3"/>
    </row>
    <row r="46" spans="1:33" x14ac:dyDescent="0.25">
      <c r="A46" s="130"/>
      <c r="B46" s="131"/>
      <c r="C46" s="132"/>
      <c r="D46" s="132"/>
      <c r="E46" s="132">
        <v>2.8781119585551901E-3</v>
      </c>
      <c r="F46" s="131" t="s">
        <v>268</v>
      </c>
      <c r="G46" s="131" t="s">
        <v>114</v>
      </c>
      <c r="H46" s="131" t="s">
        <v>150</v>
      </c>
      <c r="I46" s="131" t="s">
        <v>245</v>
      </c>
      <c r="J46" s="131" t="s">
        <v>269</v>
      </c>
      <c r="K46" s="131">
        <v>55</v>
      </c>
      <c r="L46" s="131">
        <v>89</v>
      </c>
      <c r="M46" s="131">
        <v>0</v>
      </c>
      <c r="N46" s="138">
        <v>7</v>
      </c>
      <c r="O46" s="138">
        <v>2</v>
      </c>
      <c r="P46" s="138">
        <v>0</v>
      </c>
      <c r="Q46" s="138">
        <f>(K46*12.011)+(L46*1.008)+(N46*15.999)+(14.007*M46)+(O46*30.974)+(P46*32.066)</f>
        <v>924.25799999999992</v>
      </c>
      <c r="R46" s="133" t="s">
        <v>235</v>
      </c>
      <c r="S46" s="134">
        <f t="shared" si="7"/>
        <v>924.25799999999992</v>
      </c>
      <c r="T46" s="135">
        <f t="shared" si="4"/>
        <v>2.8781119585551901E-3</v>
      </c>
      <c r="U46" s="138"/>
      <c r="V46" s="138"/>
      <c r="W46" s="137"/>
      <c r="X46" s="131">
        <f t="shared" si="5"/>
        <v>2.6601180025903029E-3</v>
      </c>
      <c r="Y46" s="137"/>
      <c r="Z46" s="212"/>
      <c r="AA46" s="3"/>
      <c r="AB46" s="3"/>
      <c r="AC46" s="3"/>
      <c r="AD46" s="3"/>
      <c r="AE46" s="3"/>
      <c r="AF46" s="3"/>
      <c r="AG46" s="3"/>
    </row>
    <row r="47" spans="1:33" x14ac:dyDescent="0.25">
      <c r="A47" s="130"/>
      <c r="B47" s="131"/>
      <c r="C47" s="132"/>
      <c r="D47" s="132"/>
      <c r="E47" s="132">
        <v>2.8781119585551901E-3</v>
      </c>
      <c r="F47" s="131" t="s">
        <v>270</v>
      </c>
      <c r="G47" s="131" t="s">
        <v>353</v>
      </c>
      <c r="H47" s="131" t="s">
        <v>150</v>
      </c>
      <c r="I47" s="131" t="s">
        <v>245</v>
      </c>
      <c r="J47" s="131" t="s">
        <v>271</v>
      </c>
      <c r="K47" s="131">
        <v>20</v>
      </c>
      <c r="L47" s="131">
        <v>21</v>
      </c>
      <c r="M47" s="131">
        <v>7</v>
      </c>
      <c r="N47" s="138">
        <v>7</v>
      </c>
      <c r="O47" s="138">
        <v>0</v>
      </c>
      <c r="P47" s="138">
        <v>0</v>
      </c>
      <c r="Q47" s="138">
        <f>(K47*12.011)+(L47*1.008)+(N47*15.999)+(14.007*M47)+(O47*30.974)+(P47*32.066)</f>
        <v>471.42999999999995</v>
      </c>
      <c r="R47" s="133" t="s">
        <v>235</v>
      </c>
      <c r="S47" s="134">
        <f t="shared" si="7"/>
        <v>471.42999999999995</v>
      </c>
      <c r="T47" s="135">
        <f t="shared" si="4"/>
        <v>2.8781119585551901E-3</v>
      </c>
      <c r="U47" s="138"/>
      <c r="V47" s="138"/>
      <c r="W47" s="137"/>
      <c r="X47" s="131">
        <f t="shared" si="5"/>
        <v>1.3568283206216731E-3</v>
      </c>
      <c r="Y47" s="137"/>
      <c r="Z47" s="212"/>
      <c r="AA47" s="3"/>
      <c r="AB47" s="3"/>
      <c r="AC47" s="3"/>
      <c r="AD47" s="3"/>
      <c r="AE47" s="3"/>
      <c r="AF47" s="3"/>
      <c r="AG47" s="3"/>
    </row>
    <row r="48" spans="1:33" x14ac:dyDescent="0.25">
      <c r="A48" s="130"/>
      <c r="B48" s="131"/>
      <c r="C48" s="132"/>
      <c r="D48" s="132"/>
      <c r="E48" s="132">
        <v>2.8781119585551901E-3</v>
      </c>
      <c r="F48" s="131" t="s">
        <v>272</v>
      </c>
      <c r="G48" s="131" t="s">
        <v>386</v>
      </c>
      <c r="H48" s="131" t="s">
        <v>150</v>
      </c>
      <c r="I48" s="131" t="s">
        <v>245</v>
      </c>
      <c r="J48" s="131" t="s">
        <v>273</v>
      </c>
      <c r="K48" s="131">
        <v>15</v>
      </c>
      <c r="L48" s="131">
        <v>23</v>
      </c>
      <c r="M48" s="131">
        <v>6</v>
      </c>
      <c r="N48" s="138">
        <v>5</v>
      </c>
      <c r="O48" s="138">
        <v>0</v>
      </c>
      <c r="P48" s="138">
        <v>1</v>
      </c>
      <c r="Q48" s="138">
        <f>(K48*12.011)+(L48*1.008)+(N48*15.999)+(14.007*M48)+(O48*30.974)+(P48*32.066)</f>
        <v>399.452</v>
      </c>
      <c r="R48" s="133" t="s">
        <v>235</v>
      </c>
      <c r="S48" s="134">
        <f t="shared" si="7"/>
        <v>399.452</v>
      </c>
      <c r="T48" s="135">
        <f t="shared" si="4"/>
        <v>2.8781119585551901E-3</v>
      </c>
      <c r="U48" s="138"/>
      <c r="V48" s="138"/>
      <c r="W48" s="137"/>
      <c r="X48" s="131">
        <f t="shared" si="5"/>
        <v>1.1496675780687878E-3</v>
      </c>
      <c r="Y48" s="137"/>
      <c r="Z48" s="212"/>
      <c r="AA48" s="3"/>
      <c r="AB48" s="3"/>
      <c r="AC48" s="3"/>
      <c r="AD48" s="3"/>
      <c r="AE48" s="3"/>
      <c r="AF48" s="3"/>
      <c r="AG48" s="3"/>
    </row>
    <row r="49" spans="1:33" x14ac:dyDescent="0.25">
      <c r="A49" s="130"/>
      <c r="B49" s="131"/>
      <c r="C49" s="132"/>
      <c r="D49" s="132"/>
      <c r="E49" s="132">
        <v>2.8781119585551901E-3</v>
      </c>
      <c r="F49" s="131" t="s">
        <v>468</v>
      </c>
      <c r="G49" s="252" t="s">
        <v>369</v>
      </c>
      <c r="H49" s="131" t="s">
        <v>150</v>
      </c>
      <c r="I49" s="131" t="s">
        <v>245</v>
      </c>
      <c r="J49" s="131" t="s">
        <v>370</v>
      </c>
      <c r="K49" s="131">
        <v>17</v>
      </c>
      <c r="L49" s="131">
        <v>19</v>
      </c>
      <c r="M49" s="131">
        <v>4</v>
      </c>
      <c r="N49" s="138">
        <v>9</v>
      </c>
      <c r="O49" s="138">
        <v>1</v>
      </c>
      <c r="P49" s="138">
        <v>0</v>
      </c>
      <c r="Q49" s="138">
        <f>(K49*12.011)+(L49*1.008)+(N49*15.999)+(14.007*M49)+(O49*30.974)+(P49*32.066)</f>
        <v>454.33200000000005</v>
      </c>
      <c r="R49" s="133" t="s">
        <v>235</v>
      </c>
      <c r="S49" s="134">
        <f t="shared" si="7"/>
        <v>454.33200000000005</v>
      </c>
      <c r="T49" s="135">
        <f t="shared" si="4"/>
        <v>2.8781119585551901E-3</v>
      </c>
      <c r="U49" s="138"/>
      <c r="V49" s="138"/>
      <c r="W49" s="137"/>
      <c r="X49" s="131">
        <f t="shared" si="5"/>
        <v>1.3076183623542967E-3</v>
      </c>
      <c r="Y49" s="137"/>
      <c r="Z49" s="212"/>
      <c r="AA49" s="3"/>
      <c r="AB49" s="3"/>
      <c r="AC49" s="3"/>
      <c r="AD49" s="3"/>
      <c r="AE49" s="3"/>
      <c r="AF49" s="3"/>
      <c r="AG49" s="3"/>
    </row>
    <row r="50" spans="1:33" x14ac:dyDescent="0.25">
      <c r="A50" s="130"/>
      <c r="B50" s="131"/>
      <c r="C50" s="132"/>
      <c r="D50" s="132"/>
      <c r="E50" s="132">
        <v>2.8781119585551901E-3</v>
      </c>
      <c r="F50" s="131" t="s">
        <v>469</v>
      </c>
      <c r="G50" s="252" t="s">
        <v>375</v>
      </c>
      <c r="H50" s="131" t="s">
        <v>150</v>
      </c>
      <c r="I50" s="131" t="s">
        <v>245</v>
      </c>
      <c r="J50" s="131" t="s">
        <v>376</v>
      </c>
      <c r="K50" s="131">
        <v>51</v>
      </c>
      <c r="L50" s="131">
        <v>77</v>
      </c>
      <c r="M50" s="131">
        <v>0</v>
      </c>
      <c r="N50" s="138">
        <v>2</v>
      </c>
      <c r="O50" s="138">
        <v>0</v>
      </c>
      <c r="P50" s="138">
        <v>0</v>
      </c>
      <c r="Q50" s="138">
        <f t="shared" ref="Q50:Q58" si="8">(K50*12.011)+(L50*1.008)+(N50*15.999)+(14.007*M50)+(O50*30.974)+(P50*32.066)</f>
        <v>722.17499999999995</v>
      </c>
      <c r="R50" s="133" t="s">
        <v>235</v>
      </c>
      <c r="S50" s="134">
        <f t="shared" si="7"/>
        <v>722.17499999999995</v>
      </c>
      <c r="T50" s="135">
        <f t="shared" si="4"/>
        <v>2.8781119585551906E-3</v>
      </c>
      <c r="U50" s="138"/>
      <c r="V50" s="138"/>
      <c r="W50" s="137"/>
      <c r="X50" s="131">
        <f t="shared" si="5"/>
        <v>2.0785005036695944E-3</v>
      </c>
      <c r="Y50" s="137"/>
      <c r="Z50" s="212"/>
      <c r="AA50" s="3"/>
      <c r="AB50" s="3"/>
      <c r="AC50" s="3"/>
      <c r="AD50" s="3"/>
      <c r="AE50" s="3"/>
      <c r="AF50" s="3"/>
      <c r="AG50" s="3"/>
    </row>
    <row r="51" spans="1:33" x14ac:dyDescent="0.25">
      <c r="A51" s="130"/>
      <c r="B51" s="131"/>
      <c r="C51" s="132"/>
      <c r="D51" s="132"/>
      <c r="E51" s="132">
        <v>2.8781119585551901E-3</v>
      </c>
      <c r="F51" s="252" t="s">
        <v>422</v>
      </c>
      <c r="G51" s="252" t="s">
        <v>420</v>
      </c>
      <c r="H51" s="131" t="s">
        <v>150</v>
      </c>
      <c r="I51" s="131" t="s">
        <v>245</v>
      </c>
      <c r="J51" s="131" t="s">
        <v>421</v>
      </c>
      <c r="K51" s="131">
        <v>9</v>
      </c>
      <c r="L51" s="131">
        <v>10</v>
      </c>
      <c r="M51" s="131">
        <v>2</v>
      </c>
      <c r="N51" s="138">
        <v>0</v>
      </c>
      <c r="O51" s="138">
        <v>0</v>
      </c>
      <c r="P51" s="138">
        <v>0</v>
      </c>
      <c r="Q51" s="138">
        <f t="shared" si="8"/>
        <v>146.19299999999998</v>
      </c>
      <c r="R51" s="133" t="s">
        <v>235</v>
      </c>
      <c r="S51" s="134">
        <f t="shared" si="7"/>
        <v>146.19299999999998</v>
      </c>
      <c r="T51" s="135">
        <f t="shared" si="4"/>
        <v>2.8781119585551901E-3</v>
      </c>
      <c r="U51" s="138"/>
      <c r="V51" s="138"/>
      <c r="W51" s="137"/>
      <c r="X51" s="131">
        <f t="shared" si="5"/>
        <v>4.2075982155705886E-4</v>
      </c>
      <c r="Y51" s="137"/>
      <c r="Z51" s="212"/>
      <c r="AA51" s="3"/>
      <c r="AB51" s="3"/>
      <c r="AC51" s="3"/>
      <c r="AD51" s="3"/>
      <c r="AE51" s="3"/>
      <c r="AF51" s="3"/>
      <c r="AG51" s="3"/>
    </row>
    <row r="52" spans="1:33" x14ac:dyDescent="0.25">
      <c r="A52" s="130"/>
      <c r="B52" s="131"/>
      <c r="C52" s="132"/>
      <c r="D52" s="132"/>
      <c r="E52" s="132">
        <v>2.8781119585551901E-3</v>
      </c>
      <c r="F52" s="252" t="s">
        <v>72</v>
      </c>
      <c r="G52" s="252" t="s">
        <v>395</v>
      </c>
      <c r="H52" s="131" t="s">
        <v>150</v>
      </c>
      <c r="I52" s="131" t="s">
        <v>245</v>
      </c>
      <c r="J52" s="252" t="s">
        <v>396</v>
      </c>
      <c r="K52" s="131">
        <v>49</v>
      </c>
      <c r="L52" s="131">
        <v>74</v>
      </c>
      <c r="M52" s="131">
        <v>0</v>
      </c>
      <c r="N52" s="138">
        <v>4</v>
      </c>
      <c r="O52" s="138">
        <v>0</v>
      </c>
      <c r="P52" s="138">
        <v>0</v>
      </c>
      <c r="Q52" s="138">
        <f t="shared" si="8"/>
        <v>727.12699999999995</v>
      </c>
      <c r="R52" s="133" t="s">
        <v>235</v>
      </c>
      <c r="S52" s="134">
        <f t="shared" si="7"/>
        <v>727.12699999999995</v>
      </c>
      <c r="T52" s="135">
        <f t="shared" si="4"/>
        <v>2.8781119585551901E-3</v>
      </c>
      <c r="U52" s="138"/>
      <c r="V52" s="138"/>
      <c r="W52" s="137"/>
      <c r="X52" s="131">
        <f t="shared" si="5"/>
        <v>2.0927529140883595E-3</v>
      </c>
      <c r="Y52" s="137"/>
      <c r="Z52" s="212"/>
      <c r="AA52" s="3"/>
      <c r="AB52" s="3"/>
      <c r="AC52" s="3"/>
      <c r="AD52" s="3"/>
      <c r="AE52" s="3"/>
      <c r="AF52" s="3"/>
      <c r="AG52" s="3"/>
    </row>
    <row r="53" spans="1:33" x14ac:dyDescent="0.25">
      <c r="A53" s="130"/>
      <c r="B53" s="131"/>
      <c r="C53" s="132"/>
      <c r="D53" s="132"/>
      <c r="E53" s="132">
        <v>2.8781119585551901E-3</v>
      </c>
      <c r="F53" s="252" t="s">
        <v>70</v>
      </c>
      <c r="G53" s="252" t="s">
        <v>397</v>
      </c>
      <c r="H53" s="131" t="s">
        <v>150</v>
      </c>
      <c r="I53" s="131" t="s">
        <v>245</v>
      </c>
      <c r="J53" s="252" t="s">
        <v>398</v>
      </c>
      <c r="K53" s="131">
        <v>17</v>
      </c>
      <c r="L53" s="131">
        <v>25</v>
      </c>
      <c r="M53" s="131">
        <v>3</v>
      </c>
      <c r="N53" s="138">
        <v>17</v>
      </c>
      <c r="O53" s="138">
        <v>2</v>
      </c>
      <c r="P53" s="138">
        <v>0</v>
      </c>
      <c r="Q53" s="138">
        <f t="shared" si="8"/>
        <v>605.33899999999994</v>
      </c>
      <c r="R53" s="133"/>
      <c r="S53" s="134">
        <f t="shared" si="7"/>
        <v>605.33899999999994</v>
      </c>
      <c r="T53" s="135">
        <f t="shared" si="4"/>
        <v>2.8781119585551901E-3</v>
      </c>
      <c r="U53" s="138"/>
      <c r="V53" s="138"/>
      <c r="W53" s="137"/>
      <c r="X53" s="131">
        <f t="shared" si="5"/>
        <v>1.7422334148798401E-3</v>
      </c>
      <c r="Y53" s="137"/>
      <c r="Z53" s="212"/>
      <c r="AA53" s="3"/>
      <c r="AB53" s="3"/>
      <c r="AC53" s="3"/>
      <c r="AD53" s="3"/>
      <c r="AE53" s="3"/>
      <c r="AF53" s="3"/>
      <c r="AG53" s="3"/>
    </row>
    <row r="54" spans="1:33" x14ac:dyDescent="0.25">
      <c r="A54" s="130"/>
      <c r="B54" s="131"/>
      <c r="C54" s="132"/>
      <c r="D54" s="132"/>
      <c r="E54" s="132">
        <v>2.8781119585551901E-3</v>
      </c>
      <c r="F54" s="131" t="s">
        <v>470</v>
      </c>
      <c r="G54" s="252" t="s">
        <v>387</v>
      </c>
      <c r="H54" s="131" t="s">
        <v>150</v>
      </c>
      <c r="I54" s="131" t="s">
        <v>245</v>
      </c>
      <c r="J54" s="131" t="s">
        <v>388</v>
      </c>
      <c r="K54" s="131">
        <v>42</v>
      </c>
      <c r="L54" s="131">
        <v>36</v>
      </c>
      <c r="M54" s="131">
        <v>4</v>
      </c>
      <c r="N54" s="138">
        <v>16</v>
      </c>
      <c r="O54" s="138">
        <v>0</v>
      </c>
      <c r="P54" s="138">
        <v>0</v>
      </c>
      <c r="Q54" s="138">
        <v>908</v>
      </c>
      <c r="R54" s="133" t="s">
        <v>235</v>
      </c>
      <c r="S54" s="134">
        <f t="shared" si="7"/>
        <v>908</v>
      </c>
      <c r="T54" s="135">
        <f t="shared" si="4"/>
        <v>2.8781119585551901E-3</v>
      </c>
      <c r="U54" s="138"/>
      <c r="V54" s="138"/>
      <c r="W54" s="137"/>
      <c r="X54" s="131">
        <f t="shared" si="5"/>
        <v>2.6133256583681127E-3</v>
      </c>
      <c r="Y54" s="137"/>
      <c r="Z54" s="212"/>
      <c r="AA54" s="3"/>
      <c r="AB54" s="3"/>
      <c r="AC54" s="3"/>
      <c r="AD54" s="3"/>
      <c r="AE54" s="3"/>
      <c r="AF54" s="3"/>
      <c r="AG54" s="3"/>
    </row>
    <row r="55" spans="1:33" x14ac:dyDescent="0.25">
      <c r="A55" s="130"/>
      <c r="B55" s="131"/>
      <c r="C55" s="132"/>
      <c r="D55" s="132"/>
      <c r="E55" s="132">
        <v>2.8781119585551901E-3</v>
      </c>
      <c r="F55" s="131" t="s">
        <v>417</v>
      </c>
      <c r="G55" s="252" t="s">
        <v>418</v>
      </c>
      <c r="H55" s="131" t="s">
        <v>150</v>
      </c>
      <c r="I55" s="131" t="s">
        <v>245</v>
      </c>
      <c r="J55" s="131" t="s">
        <v>419</v>
      </c>
      <c r="K55" s="131">
        <v>48</v>
      </c>
      <c r="L55" s="131">
        <v>72</v>
      </c>
      <c r="M55" s="131">
        <v>11</v>
      </c>
      <c r="N55" s="138">
        <v>8</v>
      </c>
      <c r="O55" s="138">
        <v>0</v>
      </c>
      <c r="P55" s="138">
        <v>0</v>
      </c>
      <c r="Q55" s="138">
        <v>990</v>
      </c>
      <c r="R55" s="133" t="s">
        <v>235</v>
      </c>
      <c r="S55" s="134">
        <f t="shared" si="7"/>
        <v>990</v>
      </c>
      <c r="T55" s="135">
        <f t="shared" si="4"/>
        <v>2.8781119585551901E-3</v>
      </c>
      <c r="U55" s="138"/>
      <c r="V55" s="138"/>
      <c r="W55" s="137"/>
      <c r="X55" s="131">
        <f t="shared" si="5"/>
        <v>2.8493308389696383E-3</v>
      </c>
      <c r="Y55" s="137"/>
      <c r="Z55" s="212"/>
      <c r="AA55" s="3"/>
      <c r="AB55" s="3"/>
      <c r="AC55" s="3"/>
      <c r="AD55" s="3"/>
      <c r="AE55" s="3"/>
      <c r="AF55" s="3"/>
      <c r="AG55" s="3"/>
    </row>
    <row r="56" spans="1:33" x14ac:dyDescent="0.25">
      <c r="A56" s="130"/>
      <c r="B56" s="131"/>
      <c r="C56" s="132"/>
      <c r="D56" s="132"/>
      <c r="E56" s="132">
        <v>2.8781119585551901E-3</v>
      </c>
      <c r="F56" s="131" t="s">
        <v>12</v>
      </c>
      <c r="G56" s="253" t="s">
        <v>114</v>
      </c>
      <c r="H56" s="131" t="s">
        <v>150</v>
      </c>
      <c r="I56" s="131" t="s">
        <v>245</v>
      </c>
      <c r="J56" s="131" t="s">
        <v>405</v>
      </c>
      <c r="K56" s="131">
        <v>55</v>
      </c>
      <c r="L56" s="131">
        <v>90</v>
      </c>
      <c r="M56" s="131">
        <v>0</v>
      </c>
      <c r="N56" s="138">
        <v>7</v>
      </c>
      <c r="O56" s="138">
        <v>2</v>
      </c>
      <c r="P56" s="138">
        <v>0</v>
      </c>
      <c r="Q56" s="138">
        <f t="shared" si="8"/>
        <v>925.26599999999996</v>
      </c>
      <c r="R56" s="133" t="s">
        <v>235</v>
      </c>
      <c r="S56" s="134">
        <f t="shared" si="7"/>
        <v>925.26599999999996</v>
      </c>
      <c r="T56" s="135">
        <f t="shared" si="4"/>
        <v>2.8781119585551901E-3</v>
      </c>
      <c r="U56" s="138"/>
      <c r="V56" s="138"/>
      <c r="W56" s="137"/>
      <c r="X56" s="131">
        <f t="shared" si="5"/>
        <v>2.6630191394445262E-3</v>
      </c>
      <c r="Y56" s="137"/>
      <c r="Z56" s="212"/>
      <c r="AA56" s="3"/>
      <c r="AB56" s="3"/>
      <c r="AC56" s="3"/>
      <c r="AD56" s="3"/>
      <c r="AE56" s="3"/>
      <c r="AF56" s="3"/>
      <c r="AG56" s="3"/>
    </row>
    <row r="57" spans="1:33" x14ac:dyDescent="0.25">
      <c r="A57" s="130"/>
      <c r="B57" s="131"/>
      <c r="C57" s="132"/>
      <c r="D57" s="132"/>
      <c r="E57" s="132">
        <v>2.8781119585551901E-3</v>
      </c>
      <c r="F57" s="131" t="s">
        <v>471</v>
      </c>
      <c r="G57" s="252" t="s">
        <v>409</v>
      </c>
      <c r="H57" s="131" t="s">
        <v>150</v>
      </c>
      <c r="I57" s="131" t="s">
        <v>245</v>
      </c>
      <c r="J57" s="131" t="s">
        <v>410</v>
      </c>
      <c r="K57" s="131">
        <v>11</v>
      </c>
      <c r="L57" s="131">
        <v>22</v>
      </c>
      <c r="M57" s="131">
        <v>2</v>
      </c>
      <c r="N57" s="138">
        <v>7</v>
      </c>
      <c r="O57" s="138">
        <v>0</v>
      </c>
      <c r="P57" s="138">
        <v>0</v>
      </c>
      <c r="Q57" s="138">
        <v>357</v>
      </c>
      <c r="R57" s="133" t="s">
        <v>235</v>
      </c>
      <c r="S57" s="134">
        <f t="shared" si="7"/>
        <v>357</v>
      </c>
      <c r="T57" s="135">
        <f t="shared" si="4"/>
        <v>2.8781119585551901E-3</v>
      </c>
      <c r="U57" s="138"/>
      <c r="V57" s="138"/>
      <c r="W57" s="137"/>
      <c r="X57" s="131">
        <f t="shared" si="5"/>
        <v>1.0274859692042029E-3</v>
      </c>
      <c r="Y57" s="137"/>
      <c r="Z57" s="212"/>
      <c r="AA57" s="3"/>
      <c r="AB57" s="3"/>
      <c r="AC57" s="3"/>
      <c r="AD57" s="3"/>
      <c r="AE57" s="3"/>
      <c r="AF57" s="3"/>
      <c r="AG57" s="3"/>
    </row>
    <row r="58" spans="1:33" x14ac:dyDescent="0.25">
      <c r="A58" s="130"/>
      <c r="B58" s="131"/>
      <c r="C58" s="132"/>
      <c r="D58" s="132"/>
      <c r="E58" s="132">
        <v>2.8781119585551901E-3</v>
      </c>
      <c r="F58" s="131" t="s">
        <v>472</v>
      </c>
      <c r="G58" s="252" t="s">
        <v>415</v>
      </c>
      <c r="H58" s="131" t="s">
        <v>150</v>
      </c>
      <c r="I58" s="131" t="s">
        <v>245</v>
      </c>
      <c r="J58" s="131" t="s">
        <v>416</v>
      </c>
      <c r="K58" s="131">
        <v>10</v>
      </c>
      <c r="L58" s="131">
        <v>15</v>
      </c>
      <c r="M58" s="131">
        <v>2</v>
      </c>
      <c r="N58" s="138">
        <v>3</v>
      </c>
      <c r="O58" s="138">
        <v>0</v>
      </c>
      <c r="P58" s="138">
        <v>1</v>
      </c>
      <c r="Q58" s="138">
        <f t="shared" si="8"/>
        <v>243.30699999999999</v>
      </c>
      <c r="R58" s="133" t="s">
        <v>235</v>
      </c>
      <c r="S58" s="134">
        <f t="shared" si="7"/>
        <v>243.30699999999999</v>
      </c>
      <c r="T58" s="135">
        <f t="shared" si="4"/>
        <v>2.8781119585551901E-3</v>
      </c>
      <c r="U58" s="138"/>
      <c r="V58" s="138"/>
      <c r="W58" s="137"/>
      <c r="X58" s="131">
        <f t="shared" si="5"/>
        <v>7.0026478630018764E-4</v>
      </c>
      <c r="Y58" s="137"/>
      <c r="Z58" s="212"/>
      <c r="AA58" s="68"/>
      <c r="AB58" s="68"/>
      <c r="AC58" s="68"/>
      <c r="AD58" s="68"/>
      <c r="AE58" s="68"/>
      <c r="AF58" s="122"/>
      <c r="AG58" s="68"/>
    </row>
    <row r="59" spans="1:33" x14ac:dyDescent="0.25">
      <c r="A59" s="130"/>
      <c r="B59" s="131"/>
      <c r="C59" s="132"/>
      <c r="D59" s="132"/>
      <c r="E59" s="132">
        <v>2.8781119585551901E-3</v>
      </c>
      <c r="F59" s="131" t="s">
        <v>473</v>
      </c>
      <c r="G59" s="252" t="s">
        <v>474</v>
      </c>
      <c r="H59" s="131" t="s">
        <v>150</v>
      </c>
      <c r="I59" s="131" t="s">
        <v>245</v>
      </c>
      <c r="J59" s="131" t="s">
        <v>475</v>
      </c>
      <c r="K59" s="131"/>
      <c r="L59" s="131"/>
      <c r="M59" s="131"/>
      <c r="N59" s="138"/>
      <c r="O59" s="138"/>
      <c r="P59" s="138"/>
      <c r="Q59" s="138">
        <v>18</v>
      </c>
      <c r="R59" s="133" t="s">
        <v>235</v>
      </c>
      <c r="S59" s="134">
        <f t="shared" si="7"/>
        <v>18</v>
      </c>
      <c r="T59" s="135">
        <f t="shared" si="4"/>
        <v>2.8781119585551901E-3</v>
      </c>
      <c r="U59" s="138"/>
      <c r="V59" s="138"/>
      <c r="W59" s="137"/>
      <c r="X59" s="131">
        <f t="shared" si="5"/>
        <v>5.180601525399342E-5</v>
      </c>
      <c r="Y59" s="137"/>
      <c r="Z59" s="212"/>
      <c r="AA59" s="126"/>
      <c r="AB59" s="145"/>
      <c r="AC59" s="68"/>
      <c r="AD59" s="68"/>
      <c r="AE59" s="68"/>
      <c r="AF59" s="122"/>
      <c r="AG59" s="68"/>
    </row>
    <row r="60" spans="1:33" x14ac:dyDescent="0.25">
      <c r="A60" s="130"/>
      <c r="B60" s="131"/>
      <c r="C60" s="132"/>
      <c r="D60" s="132"/>
      <c r="E60" s="132">
        <v>2.8781119585551901E-3</v>
      </c>
      <c r="F60" s="131" t="s">
        <v>274</v>
      </c>
      <c r="G60" s="131" t="s">
        <v>384</v>
      </c>
      <c r="H60" s="131" t="s">
        <v>150</v>
      </c>
      <c r="I60" s="131" t="s">
        <v>245</v>
      </c>
      <c r="J60" s="131" t="s">
        <v>275</v>
      </c>
      <c r="K60" s="131">
        <v>17</v>
      </c>
      <c r="L60" s="131">
        <v>20</v>
      </c>
      <c r="M60" s="131">
        <v>4</v>
      </c>
      <c r="N60" s="138">
        <v>6</v>
      </c>
      <c r="O60" s="138">
        <v>0</v>
      </c>
      <c r="P60" s="138">
        <v>0</v>
      </c>
      <c r="Q60" s="138">
        <f>(K60*12.011)+(L60*1.008)+(N60*15.999)+(14.007*M60)+(O60*30.974)+(P60*32.066)</f>
        <v>376.36900000000003</v>
      </c>
      <c r="R60" s="133" t="s">
        <v>235</v>
      </c>
      <c r="S60" s="134">
        <f t="shared" si="7"/>
        <v>376.36900000000003</v>
      </c>
      <c r="T60" s="135">
        <f t="shared" si="4"/>
        <v>2.8781119585551906E-3</v>
      </c>
      <c r="U60" s="138"/>
      <c r="V60" s="138"/>
      <c r="W60" s="137"/>
      <c r="X60" s="131">
        <f t="shared" si="5"/>
        <v>1.0832321197294585E-3</v>
      </c>
      <c r="Y60" s="137"/>
      <c r="Z60" s="254"/>
      <c r="AA60" s="126"/>
      <c r="AB60" s="145"/>
      <c r="AC60" s="68"/>
      <c r="AD60" s="68"/>
      <c r="AE60" s="68"/>
      <c r="AF60" s="122"/>
      <c r="AG60" s="68"/>
    </row>
    <row r="61" spans="1:33" x14ac:dyDescent="0.25">
      <c r="A61" s="139"/>
      <c r="B61" s="140" t="s">
        <v>276</v>
      </c>
      <c r="C61" s="140"/>
      <c r="D61" s="140"/>
      <c r="E61" s="141">
        <v>2.8781119585551901E-3</v>
      </c>
      <c r="F61" s="140" t="s">
        <v>277</v>
      </c>
      <c r="G61" s="140" t="s">
        <v>374</v>
      </c>
      <c r="H61" s="140" t="s">
        <v>150</v>
      </c>
      <c r="I61" s="140" t="s">
        <v>278</v>
      </c>
      <c r="J61" s="140" t="s">
        <v>279</v>
      </c>
      <c r="K61" s="140"/>
      <c r="L61" s="140"/>
      <c r="M61" s="140"/>
      <c r="N61" s="140"/>
      <c r="O61" s="140"/>
      <c r="P61" s="140"/>
      <c r="Q61" s="140">
        <v>38.963700000000003</v>
      </c>
      <c r="R61" s="142" t="s">
        <v>235</v>
      </c>
      <c r="S61" s="142">
        <v>38.963700000000003</v>
      </c>
      <c r="T61" s="248">
        <f>X61*1000/Q61</f>
        <v>2.8781119585551901E-3</v>
      </c>
      <c r="U61" s="142"/>
      <c r="V61" s="142"/>
      <c r="W61" s="143"/>
      <c r="X61" s="140">
        <f t="shared" si="5"/>
        <v>1.1214189091955687E-4</v>
      </c>
      <c r="Y61" s="142"/>
      <c r="Z61" s="214"/>
      <c r="AA61" s="126"/>
      <c r="AB61" s="145"/>
      <c r="AC61" s="68"/>
      <c r="AD61" s="68"/>
      <c r="AE61" s="68"/>
      <c r="AF61" s="122"/>
      <c r="AG61" s="68"/>
    </row>
    <row r="62" spans="1:33" x14ac:dyDescent="0.25">
      <c r="A62" s="233"/>
      <c r="B62" s="140"/>
      <c r="C62" s="140"/>
      <c r="D62" s="140"/>
      <c r="E62" s="141">
        <v>2.8781119585551901E-3</v>
      </c>
      <c r="F62" s="140" t="s">
        <v>280</v>
      </c>
      <c r="G62" s="140" t="s">
        <v>377</v>
      </c>
      <c r="H62" s="140" t="s">
        <v>150</v>
      </c>
      <c r="I62" s="140" t="s">
        <v>278</v>
      </c>
      <c r="J62" s="140" t="s">
        <v>281</v>
      </c>
      <c r="K62" s="140"/>
      <c r="L62" s="140"/>
      <c r="M62" s="140"/>
      <c r="N62" s="140"/>
      <c r="O62" s="140"/>
      <c r="P62" s="140"/>
      <c r="Q62" s="140">
        <v>23.984999999999999</v>
      </c>
      <c r="R62" s="142" t="s">
        <v>235</v>
      </c>
      <c r="S62" s="142">
        <v>23.984999999999999</v>
      </c>
      <c r="T62" s="248">
        <f t="shared" si="4"/>
        <v>2.8781119585551901E-3</v>
      </c>
      <c r="U62" s="142"/>
      <c r="V62" s="142"/>
      <c r="W62" s="143"/>
      <c r="X62" s="140">
        <f t="shared" si="5"/>
        <v>6.9031515325946232E-5</v>
      </c>
      <c r="Y62" s="142"/>
      <c r="Z62" s="214"/>
      <c r="AA62" s="126"/>
      <c r="AB62" s="145"/>
      <c r="AC62" s="68"/>
      <c r="AD62" s="68"/>
      <c r="AE62" s="68"/>
      <c r="AF62" s="122"/>
      <c r="AG62" s="68"/>
    </row>
    <row r="63" spans="1:33" x14ac:dyDescent="0.25">
      <c r="A63" s="233"/>
      <c r="B63" s="140"/>
      <c r="C63" s="140"/>
      <c r="D63" s="140"/>
      <c r="E63" s="141">
        <v>2.8781119585551901E-3</v>
      </c>
      <c r="F63" s="140" t="s">
        <v>282</v>
      </c>
      <c r="G63" s="140" t="s">
        <v>359</v>
      </c>
      <c r="H63" s="140" t="s">
        <v>150</v>
      </c>
      <c r="I63" s="140" t="s">
        <v>278</v>
      </c>
      <c r="J63" s="140" t="s">
        <v>283</v>
      </c>
      <c r="K63" s="140"/>
      <c r="L63" s="140"/>
      <c r="M63" s="140"/>
      <c r="N63" s="140"/>
      <c r="O63" s="140"/>
      <c r="P63" s="140"/>
      <c r="Q63" s="140">
        <v>39.962600000000002</v>
      </c>
      <c r="R63" s="142" t="s">
        <v>235</v>
      </c>
      <c r="S63" s="142">
        <v>39.962600000000002</v>
      </c>
      <c r="T63" s="248">
        <f t="shared" si="4"/>
        <v>2.8781119585551901E-3</v>
      </c>
      <c r="U63" s="142"/>
      <c r="V63" s="142"/>
      <c r="W63" s="143"/>
      <c r="X63" s="140">
        <f t="shared" si="5"/>
        <v>1.1501683695495765E-4</v>
      </c>
      <c r="Y63" s="142"/>
      <c r="Z63" s="214"/>
      <c r="AA63" s="126"/>
      <c r="AB63" s="145"/>
      <c r="AC63" s="68"/>
      <c r="AD63" s="68"/>
      <c r="AE63" s="68"/>
      <c r="AF63" s="122"/>
      <c r="AG63" s="68"/>
    </row>
    <row r="64" spans="1:33" x14ac:dyDescent="0.25">
      <c r="A64" s="271"/>
      <c r="B64" s="144"/>
      <c r="C64" s="140"/>
      <c r="D64" s="140"/>
      <c r="E64" s="141">
        <v>2.8781119585551901E-3</v>
      </c>
      <c r="F64" s="140" t="s">
        <v>284</v>
      </c>
      <c r="G64" s="140" t="s">
        <v>367</v>
      </c>
      <c r="H64" s="140" t="s">
        <v>150</v>
      </c>
      <c r="I64" s="140" t="s">
        <v>278</v>
      </c>
      <c r="J64" s="140" t="s">
        <v>285</v>
      </c>
      <c r="K64" s="140"/>
      <c r="L64" s="140"/>
      <c r="M64" s="140"/>
      <c r="N64" s="140"/>
      <c r="O64" s="140"/>
      <c r="P64" s="140"/>
      <c r="Q64" s="140">
        <v>55.934899999999999</v>
      </c>
      <c r="R64" s="142" t="s">
        <v>235</v>
      </c>
      <c r="S64" s="142">
        <v>55.934899999999999</v>
      </c>
      <c r="T64" s="248">
        <f t="shared" si="4"/>
        <v>2.8781119585551901E-3</v>
      </c>
      <c r="U64" s="142"/>
      <c r="V64" s="142"/>
      <c r="W64" s="143"/>
      <c r="X64" s="140">
        <f t="shared" si="5"/>
        <v>1.6098690459058869E-4</v>
      </c>
      <c r="Y64" s="142"/>
      <c r="Z64" s="214"/>
      <c r="AA64" s="126"/>
      <c r="AB64" s="145"/>
      <c r="AC64" s="68"/>
      <c r="AD64" s="68"/>
      <c r="AE64" s="68"/>
      <c r="AF64" s="122"/>
      <c r="AG64" s="68"/>
    </row>
    <row r="65" spans="1:33" x14ac:dyDescent="0.25">
      <c r="A65" s="139"/>
      <c r="B65" s="144" t="s">
        <v>230</v>
      </c>
      <c r="C65" s="140"/>
      <c r="D65" s="140"/>
      <c r="E65" s="141">
        <v>2.8781119585551901E-3</v>
      </c>
      <c r="F65" s="140" t="s">
        <v>286</v>
      </c>
      <c r="G65" s="140" t="s">
        <v>368</v>
      </c>
      <c r="H65" s="140" t="s">
        <v>150</v>
      </c>
      <c r="I65" s="140" t="s">
        <v>278</v>
      </c>
      <c r="J65" s="140" t="s">
        <v>285</v>
      </c>
      <c r="K65" s="140"/>
      <c r="L65" s="140"/>
      <c r="M65" s="140"/>
      <c r="N65" s="140"/>
      <c r="O65" s="140"/>
      <c r="P65" s="140"/>
      <c r="Q65" s="140">
        <v>55.934899999999999</v>
      </c>
      <c r="R65" s="142" t="s">
        <v>235</v>
      </c>
      <c r="S65" s="142">
        <v>55.934899999999999</v>
      </c>
      <c r="T65" s="248">
        <f t="shared" si="4"/>
        <v>2.8781119585551901E-3</v>
      </c>
      <c r="U65" s="142"/>
      <c r="V65" s="142"/>
      <c r="W65" s="143"/>
      <c r="X65" s="140">
        <f t="shared" si="5"/>
        <v>1.6098690459058869E-4</v>
      </c>
      <c r="Y65" s="142"/>
      <c r="Z65" s="214"/>
      <c r="AA65" s="126"/>
      <c r="AB65" s="145"/>
      <c r="AC65" s="68"/>
      <c r="AD65" s="68"/>
      <c r="AE65" s="68"/>
      <c r="AF65" s="122"/>
      <c r="AG65" s="68"/>
    </row>
    <row r="66" spans="1:33" x14ac:dyDescent="0.25">
      <c r="A66" s="139"/>
      <c r="B66" s="144" t="s">
        <v>230</v>
      </c>
      <c r="C66" s="140"/>
      <c r="D66" s="140"/>
      <c r="E66" s="141">
        <v>2.8781119585551901E-3</v>
      </c>
      <c r="F66" s="140" t="s">
        <v>287</v>
      </c>
      <c r="G66" s="140" t="s">
        <v>365</v>
      </c>
      <c r="H66" s="140" t="s">
        <v>150</v>
      </c>
      <c r="I66" s="140" t="s">
        <v>278</v>
      </c>
      <c r="J66" s="140" t="s">
        <v>288</v>
      </c>
      <c r="K66" s="140"/>
      <c r="L66" s="140"/>
      <c r="M66" s="140"/>
      <c r="N66" s="140"/>
      <c r="O66" s="140"/>
      <c r="P66" s="140"/>
      <c r="Q66" s="140">
        <v>63.545999999999999</v>
      </c>
      <c r="R66" s="142" t="s">
        <v>235</v>
      </c>
      <c r="S66" s="142">
        <v>63.545999999999999</v>
      </c>
      <c r="T66" s="248">
        <f t="shared" si="4"/>
        <v>2.8781119585551901E-3</v>
      </c>
      <c r="U66" s="142"/>
      <c r="V66" s="142"/>
      <c r="W66" s="143"/>
      <c r="X66" s="140">
        <f t="shared" si="5"/>
        <v>1.828925025183481E-4</v>
      </c>
      <c r="Y66" s="142"/>
      <c r="Z66" s="214"/>
      <c r="AA66" s="126"/>
      <c r="AB66" s="145"/>
      <c r="AC66" s="68"/>
      <c r="AD66" s="68"/>
      <c r="AE66" s="68"/>
      <c r="AF66" s="122"/>
      <c r="AG66" s="68"/>
    </row>
    <row r="67" spans="1:33" x14ac:dyDescent="0.25">
      <c r="A67" s="139"/>
      <c r="B67" s="144" t="s">
        <v>230</v>
      </c>
      <c r="C67" s="140"/>
      <c r="D67" s="140"/>
      <c r="E67" s="141">
        <v>2.8781119585551901E-3</v>
      </c>
      <c r="F67" s="140" t="s">
        <v>289</v>
      </c>
      <c r="G67" s="140" t="s">
        <v>378</v>
      </c>
      <c r="H67" s="140" t="s">
        <v>150</v>
      </c>
      <c r="I67" s="140" t="s">
        <v>278</v>
      </c>
      <c r="J67" s="140" t="s">
        <v>290</v>
      </c>
      <c r="K67" s="140"/>
      <c r="L67" s="140"/>
      <c r="M67" s="140"/>
      <c r="N67" s="140"/>
      <c r="O67" s="140"/>
      <c r="P67" s="140"/>
      <c r="Q67" s="140">
        <v>54.938000000000002</v>
      </c>
      <c r="R67" s="142" t="s">
        <v>235</v>
      </c>
      <c r="S67" s="142">
        <v>54.938000000000002</v>
      </c>
      <c r="T67" s="248">
        <f t="shared" si="4"/>
        <v>2.8781119585551901E-3</v>
      </c>
      <c r="U67" s="142"/>
      <c r="V67" s="142"/>
      <c r="W67" s="143"/>
      <c r="X67" s="140">
        <f t="shared" si="5"/>
        <v>1.5811771477910506E-4</v>
      </c>
      <c r="Y67" s="142"/>
      <c r="Z67" s="214"/>
      <c r="AA67" s="126"/>
      <c r="AB67" s="145"/>
      <c r="AC67" s="68"/>
      <c r="AD67" s="68"/>
      <c r="AE67" s="68"/>
      <c r="AF67" s="122"/>
      <c r="AG67" s="68"/>
    </row>
    <row r="68" spans="1:33" x14ac:dyDescent="0.25">
      <c r="A68" s="139"/>
      <c r="B68" s="144" t="s">
        <v>230</v>
      </c>
      <c r="C68" s="140"/>
      <c r="D68" s="140"/>
      <c r="E68" s="141">
        <v>2.8781119585551901E-3</v>
      </c>
      <c r="F68" s="140" t="s">
        <v>291</v>
      </c>
      <c r="G68" s="140" t="s">
        <v>363</v>
      </c>
      <c r="H68" s="140" t="s">
        <v>150</v>
      </c>
      <c r="I68" s="140" t="s">
        <v>278</v>
      </c>
      <c r="J68" s="140" t="s">
        <v>292</v>
      </c>
      <c r="K68" s="140"/>
      <c r="L68" s="140"/>
      <c r="M68" s="140"/>
      <c r="N68" s="140"/>
      <c r="O68" s="140"/>
      <c r="P68" s="140"/>
      <c r="Q68" s="140">
        <v>58.933199999999999</v>
      </c>
      <c r="R68" s="142" t="s">
        <v>235</v>
      </c>
      <c r="S68" s="142">
        <v>58.933199999999999</v>
      </c>
      <c r="T68" s="248">
        <f t="shared" si="4"/>
        <v>2.8781119585551901E-3</v>
      </c>
      <c r="U68" s="142"/>
      <c r="V68" s="142"/>
      <c r="W68" s="143"/>
      <c r="X68" s="140">
        <f t="shared" si="5"/>
        <v>1.6961634767592474E-4</v>
      </c>
      <c r="Y68" s="142"/>
      <c r="Z68" s="214"/>
      <c r="AA68" s="126"/>
      <c r="AB68" s="145"/>
      <c r="AC68" s="68"/>
      <c r="AD68" s="68"/>
      <c r="AE68" s="68"/>
      <c r="AF68" s="122"/>
      <c r="AG68" s="68"/>
    </row>
    <row r="69" spans="1:33" x14ac:dyDescent="0.25">
      <c r="A69" s="139"/>
      <c r="B69" s="144" t="s">
        <v>230</v>
      </c>
      <c r="C69" s="140"/>
      <c r="D69" s="140"/>
      <c r="E69" s="141">
        <v>2.8781119585551901E-3</v>
      </c>
      <c r="F69" s="140" t="s">
        <v>293</v>
      </c>
      <c r="G69" s="140" t="s">
        <v>399</v>
      </c>
      <c r="H69" s="140" t="s">
        <v>150</v>
      </c>
      <c r="I69" s="140" t="s">
        <v>278</v>
      </c>
      <c r="J69" s="140" t="s">
        <v>294</v>
      </c>
      <c r="K69" s="140"/>
      <c r="L69" s="140"/>
      <c r="M69" s="140"/>
      <c r="N69" s="140"/>
      <c r="O69" s="140"/>
      <c r="P69" s="140"/>
      <c r="Q69" s="140">
        <v>63.929099999999998</v>
      </c>
      <c r="R69" s="142" t="s">
        <v>235</v>
      </c>
      <c r="S69" s="142">
        <v>63.929099999999998</v>
      </c>
      <c r="T69" s="248">
        <f t="shared" si="4"/>
        <v>2.8781119585551901E-3</v>
      </c>
      <c r="U69" s="142"/>
      <c r="V69" s="142"/>
      <c r="W69" s="143"/>
      <c r="X69" s="140">
        <f t="shared" si="5"/>
        <v>1.8399510720967061E-4</v>
      </c>
      <c r="Y69" s="142"/>
      <c r="Z69" s="214"/>
      <c r="AA69" s="126"/>
      <c r="AB69" s="145"/>
      <c r="AC69" s="68"/>
      <c r="AD69" s="68"/>
      <c r="AE69" s="68"/>
      <c r="AF69" s="122"/>
      <c r="AG69" s="68"/>
    </row>
    <row r="70" spans="1:33" x14ac:dyDescent="0.25">
      <c r="A70" s="139"/>
      <c r="B70" s="144" t="s">
        <v>230</v>
      </c>
      <c r="C70" s="140"/>
      <c r="D70" s="140"/>
      <c r="E70" s="141">
        <v>2.8781119585551901E-3</v>
      </c>
      <c r="F70" s="140" t="s">
        <v>295</v>
      </c>
      <c r="G70" s="140" t="s">
        <v>390</v>
      </c>
      <c r="H70" s="140" t="s">
        <v>150</v>
      </c>
      <c r="I70" s="140" t="s">
        <v>278</v>
      </c>
      <c r="J70" s="140" t="s">
        <v>296</v>
      </c>
      <c r="K70" s="140">
        <v>0</v>
      </c>
      <c r="L70" s="140">
        <v>0</v>
      </c>
      <c r="M70" s="140">
        <v>0</v>
      </c>
      <c r="N70" s="140">
        <v>4</v>
      </c>
      <c r="O70" s="140">
        <v>0</v>
      </c>
      <c r="P70" s="140">
        <v>1</v>
      </c>
      <c r="Q70" s="140">
        <f>(K70*12.011)+(L70*1.008)+(N70*15.999)+(14.007*M70)+(O70*30.974)+(P70*32.066)</f>
        <v>96.062000000000012</v>
      </c>
      <c r="R70" s="142" t="s">
        <v>235</v>
      </c>
      <c r="S70" s="142">
        <v>96.062000000000012</v>
      </c>
      <c r="T70" s="248">
        <f t="shared" si="4"/>
        <v>2.8781119585551901E-3</v>
      </c>
      <c r="U70" s="142"/>
      <c r="V70" s="142"/>
      <c r="W70" s="143"/>
      <c r="X70" s="140">
        <f t="shared" si="5"/>
        <v>2.7647719096272872E-4</v>
      </c>
      <c r="Y70" s="142"/>
      <c r="Z70" s="214"/>
      <c r="AA70" s="126"/>
      <c r="AB70" s="145"/>
      <c r="AC70" s="68"/>
      <c r="AD70" s="68"/>
      <c r="AE70" s="68"/>
      <c r="AF70" s="122"/>
      <c r="AG70" s="68"/>
    </row>
    <row r="71" spans="1:33" x14ac:dyDescent="0.25">
      <c r="A71" s="139"/>
      <c r="B71" s="144"/>
      <c r="C71" s="140"/>
      <c r="D71" s="140"/>
      <c r="E71" s="141">
        <v>2.8781119585551901E-3</v>
      </c>
      <c r="F71" s="140" t="s">
        <v>476</v>
      </c>
      <c r="G71" s="140" t="s">
        <v>362</v>
      </c>
      <c r="H71" s="140" t="s">
        <v>150</v>
      </c>
      <c r="I71" s="140" t="s">
        <v>278</v>
      </c>
      <c r="J71" s="140" t="s">
        <v>476</v>
      </c>
      <c r="K71" s="140"/>
      <c r="L71" s="140"/>
      <c r="M71" s="140"/>
      <c r="N71" s="140"/>
      <c r="O71" s="140"/>
      <c r="P71" s="140"/>
      <c r="Q71" s="140">
        <v>35</v>
      </c>
      <c r="R71" s="142" t="s">
        <v>235</v>
      </c>
      <c r="S71" s="142">
        <v>96.062000000000012</v>
      </c>
      <c r="T71" s="248">
        <f t="shared" si="4"/>
        <v>2.8781119585551901E-3</v>
      </c>
      <c r="U71" s="142"/>
      <c r="V71" s="142"/>
      <c r="W71" s="143"/>
      <c r="X71" s="140">
        <f t="shared" si="5"/>
        <v>1.0073391854943165E-4</v>
      </c>
      <c r="Y71" s="142"/>
      <c r="Z71" s="214"/>
      <c r="AA71" s="126"/>
      <c r="AB71" s="127"/>
      <c r="AC71" s="68"/>
      <c r="AD71" s="68"/>
      <c r="AE71" s="68"/>
      <c r="AF71" s="122"/>
      <c r="AG71" s="68"/>
    </row>
    <row r="72" spans="1:33" ht="15.75" thickBot="1" x14ac:dyDescent="0.3">
      <c r="A72" s="263"/>
      <c r="B72" s="264" t="s">
        <v>230</v>
      </c>
      <c r="C72" s="265"/>
      <c r="D72" s="265"/>
      <c r="E72" s="266">
        <v>2.8781119585551901E-3</v>
      </c>
      <c r="F72" s="265" t="s">
        <v>297</v>
      </c>
      <c r="G72" s="265"/>
      <c r="H72" s="265" t="s">
        <v>150</v>
      </c>
      <c r="I72" s="265" t="s">
        <v>278</v>
      </c>
      <c r="J72" s="265" t="s">
        <v>298</v>
      </c>
      <c r="K72" s="265">
        <v>0</v>
      </c>
      <c r="L72" s="265">
        <v>1</v>
      </c>
      <c r="M72" s="265">
        <v>0</v>
      </c>
      <c r="N72" s="265">
        <v>4</v>
      </c>
      <c r="O72" s="265">
        <v>1</v>
      </c>
      <c r="P72" s="265">
        <v>0</v>
      </c>
      <c r="Q72" s="265">
        <f>(K72*12.011)+(L72*1.008)+(N72*15.999)+(14.007*M72)+(O72*30.974)+(P72*32.066)</f>
        <v>95.978000000000009</v>
      </c>
      <c r="R72" s="267" t="s">
        <v>235</v>
      </c>
      <c r="S72" s="267">
        <v>95.978000000000009</v>
      </c>
      <c r="T72" s="268">
        <f t="shared" si="4"/>
        <v>2.8781119585551901E-3</v>
      </c>
      <c r="U72" s="267"/>
      <c r="V72" s="267"/>
      <c r="W72" s="269"/>
      <c r="X72" s="265">
        <f t="shared" si="5"/>
        <v>2.7623542955821007E-4</v>
      </c>
      <c r="Y72" s="267"/>
      <c r="Z72" s="270">
        <f>SUM(X33:X72)</f>
        <v>4.654101136854228E-2</v>
      </c>
      <c r="AA72" s="126"/>
      <c r="AB72" s="127"/>
      <c r="AC72" s="68"/>
      <c r="AD72" s="68"/>
      <c r="AE72" s="68"/>
      <c r="AF72" s="122"/>
      <c r="AG72" s="68"/>
    </row>
    <row r="73" spans="1:33" x14ac:dyDescent="0.25">
      <c r="A73" s="181"/>
      <c r="B73" s="182" t="s">
        <v>239</v>
      </c>
      <c r="C73" s="183">
        <v>0.1</v>
      </c>
      <c r="D73" s="183"/>
      <c r="E73" s="184">
        <v>3.34896182183523E-2</v>
      </c>
      <c r="F73" s="183" t="str">
        <f>Lipids!A2</f>
        <v>Stearoylcardiolipin</v>
      </c>
      <c r="G73" s="183" t="str">
        <f>Lipids!C2</f>
        <v>cpd15793</v>
      </c>
      <c r="H73" s="183" t="s">
        <v>150</v>
      </c>
      <c r="I73" s="183" t="s">
        <v>238</v>
      </c>
      <c r="J73" s="183" t="str">
        <f>Lipids!D2</f>
        <v>C81H156O17P2</v>
      </c>
      <c r="K73" s="183">
        <v>81</v>
      </c>
      <c r="L73" s="183">
        <v>156</v>
      </c>
      <c r="M73" s="183">
        <v>0</v>
      </c>
      <c r="N73" s="183">
        <v>17</v>
      </c>
      <c r="O73" s="183">
        <v>2</v>
      </c>
      <c r="P73" s="183">
        <v>0</v>
      </c>
      <c r="Q73" s="183">
        <f>(K73*12.011)+(L73*1.008)+(N73*15.999)+(14.007*M73)+(O73*30.974)+(P73*32.066)</f>
        <v>1464.07</v>
      </c>
      <c r="R73" s="185" t="s">
        <v>235</v>
      </c>
      <c r="S73" s="185">
        <f>Q73</f>
        <v>1464.07</v>
      </c>
      <c r="T73" s="185"/>
      <c r="U73" s="185"/>
      <c r="V73" s="185"/>
      <c r="W73" s="186"/>
      <c r="X73" s="183">
        <f t="shared" ref="X73:X81" si="9">(E73*Q73)/1000</f>
        <v>4.9031145344943051E-2</v>
      </c>
      <c r="Y73" s="185"/>
      <c r="Z73" s="215"/>
      <c r="AA73" s="126"/>
      <c r="AB73" s="127"/>
      <c r="AC73" s="68"/>
      <c r="AD73" s="68"/>
      <c r="AE73" s="68"/>
      <c r="AF73" s="122"/>
      <c r="AG73" s="68"/>
    </row>
    <row r="74" spans="1:33" x14ac:dyDescent="0.25">
      <c r="A74" s="181"/>
      <c r="B74" s="182"/>
      <c r="C74" s="183"/>
      <c r="D74" s="183"/>
      <c r="E74" s="184">
        <v>3.34896182183523E-2</v>
      </c>
      <c r="F74" s="183" t="str">
        <f>Lipids!A3</f>
        <v>Phosphatidylglycerol dioctadecanoyl</v>
      </c>
      <c r="G74" s="183" t="str">
        <f>Lipids!C3</f>
        <v>cpd15540</v>
      </c>
      <c r="H74" s="183" t="s">
        <v>150</v>
      </c>
      <c r="I74" s="183" t="s">
        <v>238</v>
      </c>
      <c r="J74" s="183" t="str">
        <f>Lipids!D3</f>
        <v>C42H82O10P</v>
      </c>
      <c r="K74" s="183">
        <v>42</v>
      </c>
      <c r="L74" s="183">
        <v>82</v>
      </c>
      <c r="M74" s="183">
        <v>0</v>
      </c>
      <c r="N74" s="183">
        <v>10</v>
      </c>
      <c r="O74" s="183">
        <v>1</v>
      </c>
      <c r="P74" s="183">
        <v>0</v>
      </c>
      <c r="Q74" s="183">
        <f t="shared" ref="Q74:Q75" si="10">(K74*12.011)+(L74*1.008)+(N74*15.999)+(14.007*M74)+(O74*30.974)+(P74*32.066)</f>
        <v>778.08199999999999</v>
      </c>
      <c r="R74" s="185" t="s">
        <v>235</v>
      </c>
      <c r="S74" s="185">
        <f t="shared" ref="S74:S79" si="11">Q74</f>
        <v>778.08199999999999</v>
      </c>
      <c r="T74" s="185"/>
      <c r="U74" s="185"/>
      <c r="V74" s="185"/>
      <c r="W74" s="186"/>
      <c r="X74" s="183">
        <f t="shared" si="9"/>
        <v>2.6057669122571993E-2</v>
      </c>
      <c r="Y74" s="185"/>
      <c r="Z74" s="215"/>
      <c r="AA74" s="126"/>
      <c r="AB74" s="127"/>
      <c r="AC74" s="68"/>
      <c r="AD74" s="68"/>
      <c r="AE74" s="68"/>
      <c r="AF74" s="122"/>
      <c r="AG74" s="68"/>
    </row>
    <row r="75" spans="1:33" x14ac:dyDescent="0.25">
      <c r="A75" s="181"/>
      <c r="B75" s="182"/>
      <c r="C75" s="183"/>
      <c r="D75" s="183"/>
      <c r="E75" s="184">
        <v>3.34896182183523E-2</v>
      </c>
      <c r="F75" s="183" t="str">
        <f>Lipids!A4</f>
        <v>phosphatidylethanolamine dioctadecanoyl</v>
      </c>
      <c r="G75" s="183" t="str">
        <f>Lipids!C4</f>
        <v>cpd15533</v>
      </c>
      <c r="H75" s="183" t="s">
        <v>150</v>
      </c>
      <c r="I75" s="183" t="s">
        <v>238</v>
      </c>
      <c r="J75" s="183" t="str">
        <f>Lipids!D4</f>
        <v>C41H82NO8P</v>
      </c>
      <c r="K75" s="183">
        <v>41</v>
      </c>
      <c r="L75" s="183">
        <v>82</v>
      </c>
      <c r="M75" s="183">
        <v>1</v>
      </c>
      <c r="N75" s="183">
        <v>8</v>
      </c>
      <c r="O75" s="183">
        <v>1</v>
      </c>
      <c r="P75" s="183">
        <v>0</v>
      </c>
      <c r="Q75" s="183">
        <f t="shared" si="10"/>
        <v>748.07999999999993</v>
      </c>
      <c r="R75" s="185" t="s">
        <v>235</v>
      </c>
      <c r="S75" s="185">
        <f t="shared" si="11"/>
        <v>748.07999999999993</v>
      </c>
      <c r="T75" s="185"/>
      <c r="U75" s="185"/>
      <c r="V75" s="185"/>
      <c r="W75" s="186"/>
      <c r="X75" s="183">
        <f t="shared" si="9"/>
        <v>2.5052913596784986E-2</v>
      </c>
      <c r="Y75" s="185"/>
      <c r="Z75" s="216">
        <f>SUM(X73:X75)</f>
        <v>0.10014172806430002</v>
      </c>
      <c r="AA75" s="126"/>
      <c r="AB75" s="127"/>
      <c r="AC75" s="68"/>
      <c r="AD75" s="68"/>
      <c r="AE75" s="68"/>
      <c r="AF75" s="122"/>
      <c r="AG75" s="68"/>
    </row>
    <row r="76" spans="1:33" x14ac:dyDescent="0.25">
      <c r="A76" s="217" t="s">
        <v>446</v>
      </c>
      <c r="B76" s="187" t="s">
        <v>444</v>
      </c>
      <c r="C76" s="188">
        <v>3.4000000000000002E-2</v>
      </c>
      <c r="D76" s="188"/>
      <c r="E76" s="219">
        <v>8.4781687155574392E-3</v>
      </c>
      <c r="F76" s="188" t="s">
        <v>237</v>
      </c>
      <c r="G76" s="188" t="s">
        <v>113</v>
      </c>
      <c r="H76" s="188" t="s">
        <v>150</v>
      </c>
      <c r="I76" s="188" t="s">
        <v>237</v>
      </c>
      <c r="J76" s="188" t="s">
        <v>404</v>
      </c>
      <c r="K76" s="188">
        <v>176</v>
      </c>
      <c r="L76" s="188">
        <v>303</v>
      </c>
      <c r="M76" s="188">
        <v>2</v>
      </c>
      <c r="N76" s="188">
        <v>100</v>
      </c>
      <c r="O76" s="188">
        <v>0</v>
      </c>
      <c r="P76" s="188">
        <v>4</v>
      </c>
      <c r="Q76" s="202">
        <f>(K76*12.011)+(L76*1.008)+(N76*15.999)+(14.007*M76)+(O76*30.974)+(P76*32.066)</f>
        <v>4175.5379999999996</v>
      </c>
      <c r="R76" s="189" t="s">
        <v>235</v>
      </c>
      <c r="S76" s="189">
        <f t="shared" si="11"/>
        <v>4175.5379999999996</v>
      </c>
      <c r="T76" s="189"/>
      <c r="U76" s="189"/>
      <c r="V76" s="189"/>
      <c r="W76" s="190"/>
      <c r="X76" s="188">
        <f>(E76*Q76)/1000</f>
        <v>3.5400915642221274E-2</v>
      </c>
      <c r="Y76" s="189"/>
      <c r="Z76" s="218"/>
      <c r="AA76" s="126"/>
      <c r="AB76" s="127"/>
      <c r="AC76" s="68"/>
      <c r="AD76" s="68"/>
      <c r="AE76" s="68"/>
      <c r="AF76" s="122"/>
      <c r="AG76" s="68"/>
    </row>
    <row r="77" spans="1:33" x14ac:dyDescent="0.25">
      <c r="A77" s="217" t="s">
        <v>454</v>
      </c>
      <c r="B77" s="187" t="s">
        <v>442</v>
      </c>
      <c r="C77" s="188">
        <v>2.5000000000000001E-2</v>
      </c>
      <c r="D77" s="188"/>
      <c r="E77" s="230">
        <v>8.4781687155574392E-3</v>
      </c>
      <c r="F77" s="188" t="s">
        <v>440</v>
      </c>
      <c r="G77" s="188" t="s">
        <v>449</v>
      </c>
      <c r="H77" s="188" t="s">
        <v>445</v>
      </c>
      <c r="I77" s="188" t="s">
        <v>236</v>
      </c>
      <c r="J77" s="188" t="s">
        <v>450</v>
      </c>
      <c r="K77" s="188">
        <v>40</v>
      </c>
      <c r="L77" s="188">
        <v>63</v>
      </c>
      <c r="M77" s="188">
        <v>8</v>
      </c>
      <c r="N77" s="188">
        <v>21</v>
      </c>
      <c r="O77" s="188">
        <v>0</v>
      </c>
      <c r="P77" s="188">
        <v>0</v>
      </c>
      <c r="Q77" s="202">
        <f t="shared" ref="Q77:Q78" si="12">(K77*12.011)+(L77*1.008)+(N77*15.999)+(14.007*M77)+(O77*30.974)+(P77*32.066)</f>
        <v>991.97900000000004</v>
      </c>
      <c r="R77" s="189" t="s">
        <v>235</v>
      </c>
      <c r="S77" s="189">
        <f t="shared" si="11"/>
        <v>991.97900000000004</v>
      </c>
      <c r="T77" s="189"/>
      <c r="U77" s="189"/>
      <c r="V77" s="189"/>
      <c r="W77" s="190"/>
      <c r="X77" s="188">
        <f t="shared" si="9"/>
        <v>8.410165324289955E-3</v>
      </c>
      <c r="Y77" s="189" t="s">
        <v>477</v>
      </c>
      <c r="Z77" s="218" t="s">
        <v>478</v>
      </c>
      <c r="AA77" s="126"/>
      <c r="AB77" s="127"/>
      <c r="AC77" s="68"/>
      <c r="AD77" s="68"/>
      <c r="AE77" s="68"/>
      <c r="AF77" s="122"/>
      <c r="AG77" s="68"/>
    </row>
    <row r="78" spans="1:33" x14ac:dyDescent="0.25">
      <c r="A78" s="220"/>
      <c r="B78" s="187" t="s">
        <v>442</v>
      </c>
      <c r="C78" s="188">
        <v>2.5000000000000001E-2</v>
      </c>
      <c r="D78" s="188"/>
      <c r="E78" s="230">
        <v>8.4781687155574392E-3</v>
      </c>
      <c r="F78" s="188" t="s">
        <v>440</v>
      </c>
      <c r="G78" s="188" t="s">
        <v>115</v>
      </c>
      <c r="H78" s="188" t="s">
        <v>445</v>
      </c>
      <c r="I78" s="188" t="s">
        <v>236</v>
      </c>
      <c r="J78" s="188" t="s">
        <v>451</v>
      </c>
      <c r="K78" s="188">
        <v>80</v>
      </c>
      <c r="L78" s="188">
        <v>125</v>
      </c>
      <c r="M78" s="188">
        <v>16</v>
      </c>
      <c r="N78" s="188">
        <v>42</v>
      </c>
      <c r="O78" s="188">
        <v>0</v>
      </c>
      <c r="P78" s="188">
        <v>0</v>
      </c>
      <c r="Q78" s="202">
        <f t="shared" si="12"/>
        <v>1982.9499999999998</v>
      </c>
      <c r="R78" s="189" t="s">
        <v>235</v>
      </c>
      <c r="S78" s="189">
        <f t="shared" si="11"/>
        <v>1982.9499999999998</v>
      </c>
      <c r="T78" s="189"/>
      <c r="U78" s="189"/>
      <c r="V78" s="189"/>
      <c r="W78" s="190"/>
      <c r="X78" s="188">
        <f t="shared" si="9"/>
        <v>1.6811784654514623E-2</v>
      </c>
      <c r="Y78" s="189">
        <f>SUM(X77:X78)</f>
        <v>2.522194997880458E-2</v>
      </c>
      <c r="Z78" s="221">
        <f>SUM(X76:X78)</f>
        <v>6.0622865621025854E-2</v>
      </c>
      <c r="AA78" s="126"/>
      <c r="AB78" s="127"/>
      <c r="AC78" s="68"/>
      <c r="AD78" s="68"/>
      <c r="AE78" s="68"/>
      <c r="AF78" s="122"/>
      <c r="AG78" s="68"/>
    </row>
    <row r="79" spans="1:33" x14ac:dyDescent="0.25">
      <c r="A79" s="222" t="s">
        <v>446</v>
      </c>
      <c r="B79" s="195" t="s">
        <v>443</v>
      </c>
      <c r="C79" s="196">
        <v>3.4000000000000002E-2</v>
      </c>
      <c r="D79" s="196"/>
      <c r="E79" s="197">
        <v>0.21031077888997843</v>
      </c>
      <c r="F79" s="196" t="s">
        <v>428</v>
      </c>
      <c r="G79" s="196" t="str">
        <f>'Cell wall, carbs, and pigments'!B5</f>
        <v>cpd00155</v>
      </c>
      <c r="H79" s="196" t="s">
        <v>150</v>
      </c>
      <c r="I79" s="196" t="s">
        <v>233</v>
      </c>
      <c r="J79" s="196" t="s">
        <v>234</v>
      </c>
      <c r="K79" s="196">
        <v>6</v>
      </c>
      <c r="L79" s="196">
        <v>10</v>
      </c>
      <c r="M79" s="196">
        <v>0</v>
      </c>
      <c r="N79" s="196">
        <v>5</v>
      </c>
      <c r="O79" s="196">
        <v>0</v>
      </c>
      <c r="P79" s="196">
        <v>0</v>
      </c>
      <c r="Q79" s="196">
        <v>162.14100000000002</v>
      </c>
      <c r="R79" s="199" t="s">
        <v>235</v>
      </c>
      <c r="S79" s="199">
        <f t="shared" si="11"/>
        <v>162.14100000000002</v>
      </c>
      <c r="T79" s="199"/>
      <c r="U79" s="199"/>
      <c r="V79" s="199"/>
      <c r="W79" s="200"/>
      <c r="X79" s="196">
        <f t="shared" si="9"/>
        <v>3.4099999999999991E-2</v>
      </c>
      <c r="Y79" s="199"/>
      <c r="Z79" s="223">
        <f>SUM(X79)</f>
        <v>3.4099999999999991E-2</v>
      </c>
      <c r="AA79" s="68"/>
      <c r="AB79" s="68"/>
      <c r="AC79" s="68"/>
      <c r="AD79" s="68"/>
      <c r="AE79" s="3"/>
      <c r="AF79" s="3"/>
      <c r="AG79" s="3"/>
    </row>
    <row r="80" spans="1:33" x14ac:dyDescent="0.25">
      <c r="A80" s="154" t="s">
        <v>302</v>
      </c>
      <c r="B80" s="68"/>
      <c r="C80" s="68"/>
      <c r="D80" s="226"/>
      <c r="E80" s="227">
        <f>C95</f>
        <v>53.35</v>
      </c>
      <c r="F80" s="68" t="s">
        <v>232</v>
      </c>
      <c r="G80" s="68"/>
      <c r="H80" s="68" t="s">
        <v>150</v>
      </c>
      <c r="I80" s="68" t="s">
        <v>303</v>
      </c>
      <c r="J80" s="68" t="s">
        <v>304</v>
      </c>
      <c r="K80" s="68">
        <v>10</v>
      </c>
      <c r="L80" s="68">
        <v>12</v>
      </c>
      <c r="M80" s="68">
        <v>5</v>
      </c>
      <c r="N80" s="68">
        <v>13</v>
      </c>
      <c r="O80" s="68">
        <v>3</v>
      </c>
      <c r="P80" s="156">
        <v>0</v>
      </c>
      <c r="Q80" s="156">
        <f>(K80*12.011)+(L80*1.008)+(N80*15.999)+(14.007*M80)+(O80*30.974)+(P80*32.066)</f>
        <v>503.15</v>
      </c>
      <c r="R80" s="157"/>
      <c r="S80" s="156"/>
      <c r="T80" s="158"/>
      <c r="U80" s="159"/>
      <c r="V80" s="68"/>
      <c r="W80" s="68"/>
      <c r="X80" s="68">
        <f t="shared" si="9"/>
        <v>26.843052499999999</v>
      </c>
      <c r="Y80" s="68"/>
      <c r="Z80" s="160"/>
      <c r="AA80" s="68"/>
      <c r="AB80" s="68"/>
      <c r="AC80" s="68"/>
      <c r="AD80" s="68"/>
      <c r="AE80" s="3"/>
      <c r="AF80" s="3"/>
      <c r="AG80" s="3"/>
    </row>
    <row r="81" spans="1:33" x14ac:dyDescent="0.25">
      <c r="A81" s="154" t="s">
        <v>302</v>
      </c>
      <c r="B81" s="68"/>
      <c r="C81" s="68"/>
      <c r="D81" s="68"/>
      <c r="E81" s="227">
        <f>E80</f>
        <v>53.35</v>
      </c>
      <c r="F81" s="68" t="s">
        <v>305</v>
      </c>
      <c r="G81" s="68"/>
      <c r="H81" s="68" t="s">
        <v>150</v>
      </c>
      <c r="I81" s="68" t="s">
        <v>303</v>
      </c>
      <c r="J81" s="68" t="s">
        <v>124</v>
      </c>
      <c r="K81" s="68">
        <v>0</v>
      </c>
      <c r="L81" s="68">
        <v>2</v>
      </c>
      <c r="M81" s="68">
        <v>0</v>
      </c>
      <c r="N81" s="156">
        <v>1</v>
      </c>
      <c r="O81" s="156">
        <v>0</v>
      </c>
      <c r="P81" s="156">
        <v>0</v>
      </c>
      <c r="Q81" s="156">
        <f>(K81*12.011)+(L81*1.008)+(N81*15.999)+(14.007*M81)+(O81*30.974)+(P81*32.066)</f>
        <v>18.015000000000001</v>
      </c>
      <c r="R81" s="157"/>
      <c r="S81" s="156"/>
      <c r="T81" s="158"/>
      <c r="U81" s="159"/>
      <c r="V81" s="68"/>
      <c r="W81" s="68"/>
      <c r="X81" s="68">
        <f t="shared" si="9"/>
        <v>0.9611002500000001</v>
      </c>
      <c r="Y81" s="68"/>
      <c r="Z81" s="160"/>
      <c r="AA81" s="3"/>
      <c r="AB81" s="3"/>
      <c r="AC81" s="3"/>
      <c r="AD81" s="3"/>
      <c r="AE81" s="3"/>
      <c r="AF81" s="3"/>
      <c r="AG81" s="3"/>
    </row>
    <row r="82" spans="1:33" x14ac:dyDescent="0.25">
      <c r="A82" s="146" t="s">
        <v>306</v>
      </c>
      <c r="B82" s="147"/>
      <c r="C82" s="147"/>
      <c r="D82" s="147"/>
      <c r="E82" s="225">
        <f>E80+E30</f>
        <v>53.502849323948766</v>
      </c>
      <c r="F82" s="147" t="s">
        <v>232</v>
      </c>
      <c r="G82" s="147" t="s">
        <v>461</v>
      </c>
      <c r="H82" s="147" t="s">
        <v>150</v>
      </c>
      <c r="I82" s="147"/>
      <c r="J82" s="147"/>
      <c r="K82" s="147"/>
      <c r="L82" s="147"/>
      <c r="M82" s="147"/>
      <c r="N82" s="149"/>
      <c r="O82" s="149"/>
      <c r="P82" s="149"/>
      <c r="Q82" s="149"/>
      <c r="R82" s="150"/>
      <c r="S82" s="149"/>
      <c r="T82" s="151"/>
      <c r="U82" s="152"/>
      <c r="V82" s="147"/>
      <c r="W82" s="147"/>
      <c r="X82" s="147"/>
      <c r="Y82" s="147"/>
      <c r="Z82" s="153"/>
      <c r="AA82" s="3"/>
      <c r="AB82" s="3"/>
      <c r="AC82" s="3"/>
      <c r="AD82" s="3"/>
      <c r="AE82" s="3"/>
      <c r="AF82" s="3"/>
      <c r="AG82" s="3"/>
    </row>
    <row r="83" spans="1:33" x14ac:dyDescent="0.25">
      <c r="A83" s="146" t="s">
        <v>307</v>
      </c>
      <c r="B83" s="147"/>
      <c r="C83" s="147"/>
      <c r="D83" s="147"/>
      <c r="E83" s="225">
        <f>E81-E91</f>
        <v>48.773381506774385</v>
      </c>
      <c r="F83" s="147" t="s">
        <v>305</v>
      </c>
      <c r="G83" s="147" t="s">
        <v>460</v>
      </c>
      <c r="H83" s="147" t="s">
        <v>150</v>
      </c>
      <c r="I83" s="147"/>
      <c r="J83" s="147"/>
      <c r="K83" s="147"/>
      <c r="L83" s="147"/>
      <c r="M83" s="147"/>
      <c r="N83" s="149"/>
      <c r="O83" s="149"/>
      <c r="P83" s="149"/>
      <c r="Q83" s="149"/>
      <c r="R83" s="150"/>
      <c r="S83" s="149"/>
      <c r="T83" s="151"/>
      <c r="U83" s="152"/>
      <c r="V83" s="147"/>
      <c r="W83" s="147"/>
      <c r="X83" s="147"/>
      <c r="Y83" s="147"/>
      <c r="Z83" s="153"/>
      <c r="AA83" s="3"/>
      <c r="AB83" s="3"/>
      <c r="AC83" s="3"/>
      <c r="AD83" s="3"/>
      <c r="AE83" s="3"/>
      <c r="AF83" s="3"/>
      <c r="AG83" s="3"/>
    </row>
    <row r="84" spans="1:33" x14ac:dyDescent="0.25">
      <c r="A84" s="154"/>
      <c r="B84" s="68"/>
      <c r="C84" s="68"/>
      <c r="D84" s="68"/>
      <c r="E84" s="155"/>
      <c r="F84" s="68"/>
      <c r="G84" s="68"/>
      <c r="H84" s="68"/>
      <c r="I84" s="68"/>
      <c r="J84" s="68"/>
      <c r="K84" s="68"/>
      <c r="L84" s="68"/>
      <c r="M84" s="68"/>
      <c r="N84" s="156"/>
      <c r="O84" s="156"/>
      <c r="P84" s="156"/>
      <c r="Q84" s="156"/>
      <c r="R84" s="157"/>
      <c r="S84" s="156"/>
      <c r="T84" s="158"/>
      <c r="U84" s="159"/>
      <c r="V84" s="68"/>
      <c r="W84" s="68"/>
      <c r="X84" s="68"/>
      <c r="Y84" s="68"/>
      <c r="Z84" s="160"/>
      <c r="AA84" s="3"/>
      <c r="AB84" s="3"/>
      <c r="AC84" s="3"/>
      <c r="AD84" s="3"/>
      <c r="AE84" s="3"/>
      <c r="AF84" s="3"/>
      <c r="AG84" s="3"/>
    </row>
    <row r="85" spans="1:33" x14ac:dyDescent="0.25">
      <c r="A85" s="161" t="s">
        <v>308</v>
      </c>
      <c r="B85" s="68"/>
      <c r="C85" s="68"/>
      <c r="D85" s="68"/>
      <c r="E85" s="155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126"/>
      <c r="S85" s="68"/>
      <c r="T85" s="158"/>
      <c r="U85" s="68"/>
      <c r="V85" s="68"/>
      <c r="W85" s="68"/>
      <c r="X85" s="68"/>
      <c r="Y85" s="68"/>
      <c r="Z85" s="160"/>
      <c r="AA85" s="3"/>
      <c r="AB85" s="3"/>
      <c r="AC85" s="3"/>
      <c r="AD85" s="3"/>
      <c r="AE85" s="3"/>
      <c r="AF85" s="3"/>
      <c r="AG85" s="3"/>
    </row>
    <row r="86" spans="1:33" x14ac:dyDescent="0.25">
      <c r="A86" s="146" t="s">
        <v>302</v>
      </c>
      <c r="B86" s="147"/>
      <c r="C86" s="147"/>
      <c r="D86" s="147"/>
      <c r="E86" s="148">
        <v>53.35</v>
      </c>
      <c r="F86" s="147" t="s">
        <v>309</v>
      </c>
      <c r="G86" s="147"/>
      <c r="H86" s="147" t="s">
        <v>150</v>
      </c>
      <c r="I86" s="147" t="s">
        <v>303</v>
      </c>
      <c r="J86" s="147" t="s">
        <v>310</v>
      </c>
      <c r="K86" s="147">
        <v>10</v>
      </c>
      <c r="L86" s="147">
        <v>12</v>
      </c>
      <c r="M86" s="147">
        <v>5</v>
      </c>
      <c r="N86" s="147">
        <v>10</v>
      </c>
      <c r="O86" s="147">
        <v>2</v>
      </c>
      <c r="P86" s="147">
        <v>0</v>
      </c>
      <c r="Q86" s="147">
        <f t="shared" ref="Q86:Q91" si="13">(K86*12.011)+(L86*1.008)+(N86*15.999)+(14.007*M86)+(O86*30.974)+(P86*32.066)</f>
        <v>424.17899999999997</v>
      </c>
      <c r="R86" s="162"/>
      <c r="S86" s="147"/>
      <c r="T86" s="151"/>
      <c r="U86" s="152"/>
      <c r="V86" s="147"/>
      <c r="W86" s="147"/>
      <c r="X86" s="147">
        <f t="shared" ref="X86:X91" si="14">(E86*Q86)/1000</f>
        <v>22.62994965</v>
      </c>
      <c r="Y86" s="147"/>
      <c r="Z86" s="153"/>
      <c r="AA86" s="3"/>
      <c r="AB86" s="3"/>
      <c r="AC86" s="3"/>
      <c r="AD86" s="3"/>
      <c r="AE86" s="3"/>
      <c r="AF86" s="3"/>
      <c r="AG86" s="3"/>
    </row>
    <row r="87" spans="1:33" x14ac:dyDescent="0.25">
      <c r="A87" s="146" t="s">
        <v>302</v>
      </c>
      <c r="B87" s="147"/>
      <c r="C87" s="147"/>
      <c r="D87" s="147"/>
      <c r="E87" s="148">
        <f>E86</f>
        <v>53.35</v>
      </c>
      <c r="F87" s="147" t="s">
        <v>311</v>
      </c>
      <c r="G87" s="147" t="s">
        <v>462</v>
      </c>
      <c r="H87" s="147" t="s">
        <v>150</v>
      </c>
      <c r="I87" s="147" t="s">
        <v>303</v>
      </c>
      <c r="J87" s="147" t="s">
        <v>166</v>
      </c>
      <c r="K87" s="147">
        <v>0</v>
      </c>
      <c r="L87" s="147">
        <v>1</v>
      </c>
      <c r="M87" s="147">
        <v>0</v>
      </c>
      <c r="N87" s="147">
        <v>0</v>
      </c>
      <c r="O87" s="147">
        <v>0</v>
      </c>
      <c r="P87" s="147">
        <v>0</v>
      </c>
      <c r="Q87" s="147">
        <f t="shared" si="13"/>
        <v>1.008</v>
      </c>
      <c r="R87" s="162"/>
      <c r="S87" s="147"/>
      <c r="T87" s="151"/>
      <c r="U87" s="152"/>
      <c r="V87" s="147"/>
      <c r="W87" s="147"/>
      <c r="X87" s="147">
        <f t="shared" si="14"/>
        <v>5.37768E-2</v>
      </c>
      <c r="Y87" s="147"/>
      <c r="Z87" s="153"/>
      <c r="AA87" s="3"/>
      <c r="AB87" s="3"/>
      <c r="AC87" s="3"/>
      <c r="AD87" s="3"/>
      <c r="AE87" s="3"/>
      <c r="AF87" s="3"/>
      <c r="AG87" s="3"/>
    </row>
    <row r="88" spans="1:33" x14ac:dyDescent="0.25">
      <c r="A88" s="154" t="s">
        <v>302</v>
      </c>
      <c r="B88" s="68"/>
      <c r="C88" s="68"/>
      <c r="D88" s="68"/>
      <c r="E88" s="228">
        <f>E87</f>
        <v>53.35</v>
      </c>
      <c r="F88" s="68" t="s">
        <v>297</v>
      </c>
      <c r="G88" s="68"/>
      <c r="H88" s="68" t="s">
        <v>150</v>
      </c>
      <c r="I88" s="68" t="s">
        <v>303</v>
      </c>
      <c r="J88" s="68" t="s">
        <v>298</v>
      </c>
      <c r="K88" s="68">
        <v>0</v>
      </c>
      <c r="L88" s="68">
        <v>1</v>
      </c>
      <c r="M88" s="68">
        <v>0</v>
      </c>
      <c r="N88" s="68">
        <v>4</v>
      </c>
      <c r="O88" s="68">
        <v>1</v>
      </c>
      <c r="P88" s="68">
        <v>0</v>
      </c>
      <c r="Q88" s="68">
        <f t="shared" si="13"/>
        <v>95.978000000000009</v>
      </c>
      <c r="R88" s="126"/>
      <c r="S88" s="68"/>
      <c r="T88" s="158"/>
      <c r="U88" s="159"/>
      <c r="V88" s="68"/>
      <c r="W88" s="68"/>
      <c r="X88" s="68">
        <f t="shared" si="14"/>
        <v>5.120426300000001</v>
      </c>
      <c r="Y88" s="68"/>
      <c r="Z88" s="160"/>
      <c r="AA88" s="3"/>
      <c r="AB88" s="3"/>
      <c r="AC88" s="3"/>
      <c r="AD88" s="3"/>
      <c r="AE88" s="3"/>
      <c r="AF88" s="3"/>
      <c r="AG88" s="3"/>
    </row>
    <row r="89" spans="1:33" x14ac:dyDescent="0.25">
      <c r="A89" s="154" t="s">
        <v>312</v>
      </c>
      <c r="B89" s="68"/>
      <c r="C89" s="68"/>
      <c r="D89" s="68"/>
      <c r="E89" s="231">
        <f>V26</f>
        <v>0.10082084826987137</v>
      </c>
      <c r="F89" s="68" t="s">
        <v>313</v>
      </c>
      <c r="G89" s="68" t="s">
        <v>331</v>
      </c>
      <c r="H89" s="68" t="s">
        <v>150</v>
      </c>
      <c r="I89" s="68" t="s">
        <v>312</v>
      </c>
      <c r="J89" s="68" t="s">
        <v>314</v>
      </c>
      <c r="K89" s="68">
        <v>0</v>
      </c>
      <c r="L89" s="68">
        <v>1</v>
      </c>
      <c r="M89" s="68">
        <v>0</v>
      </c>
      <c r="N89" s="68">
        <v>7</v>
      </c>
      <c r="O89" s="68">
        <v>2</v>
      </c>
      <c r="P89" s="68">
        <v>0</v>
      </c>
      <c r="Q89" s="68">
        <f>(K89*12.011)+(L89*1.008)+(N89*15.999)+(14.007*M89)+(O89*30.974)+(P89*32.066)</f>
        <v>174.94900000000001</v>
      </c>
      <c r="R89" s="126"/>
      <c r="S89" s="68"/>
      <c r="T89" s="158"/>
      <c r="U89" s="159"/>
      <c r="V89" s="68"/>
      <c r="W89" s="68"/>
      <c r="X89" s="68">
        <f t="shared" si="14"/>
        <v>1.7638506583965725E-2</v>
      </c>
      <c r="Y89" s="68"/>
      <c r="Z89" s="160"/>
      <c r="AA89" s="3"/>
      <c r="AB89" s="3"/>
      <c r="AC89" s="3"/>
      <c r="AD89" s="3"/>
      <c r="AE89" s="3"/>
      <c r="AF89" s="3"/>
      <c r="AG89" s="3"/>
    </row>
    <row r="90" spans="1:33" x14ac:dyDescent="0.25">
      <c r="A90" s="154" t="s">
        <v>315</v>
      </c>
      <c r="B90" s="68"/>
      <c r="C90" s="68"/>
      <c r="D90" s="68"/>
      <c r="E90" s="231">
        <f>V30</f>
        <v>0.53053625430640849</v>
      </c>
      <c r="F90" s="68" t="s">
        <v>313</v>
      </c>
      <c r="G90" s="68" t="s">
        <v>331</v>
      </c>
      <c r="H90" s="68" t="s">
        <v>150</v>
      </c>
      <c r="I90" s="68" t="s">
        <v>315</v>
      </c>
      <c r="J90" s="68" t="s">
        <v>314</v>
      </c>
      <c r="K90" s="68">
        <v>0</v>
      </c>
      <c r="L90" s="68">
        <v>1</v>
      </c>
      <c r="M90" s="68">
        <v>0</v>
      </c>
      <c r="N90" s="68">
        <v>7</v>
      </c>
      <c r="O90" s="68">
        <v>2</v>
      </c>
      <c r="P90" s="68">
        <v>0</v>
      </c>
      <c r="Q90" s="68">
        <f>(K90*12.011)+(L90*1.008)+(N90*15.999)+(14.007*M90)+(O90*30.974)+(P90*32.066)</f>
        <v>174.94900000000001</v>
      </c>
      <c r="R90" s="126"/>
      <c r="S90" s="68"/>
      <c r="T90" s="158"/>
      <c r="U90" s="159"/>
      <c r="V90" s="68"/>
      <c r="W90" s="68"/>
      <c r="X90" s="68">
        <f t="shared" si="14"/>
        <v>9.2816787154651859E-2</v>
      </c>
      <c r="Y90" s="68"/>
      <c r="Z90" s="160"/>
      <c r="AA90" s="3"/>
      <c r="AB90" s="3"/>
      <c r="AC90" s="3"/>
      <c r="AD90" s="3"/>
      <c r="AE90" s="3"/>
      <c r="AF90" s="3"/>
      <c r="AG90" s="3"/>
    </row>
    <row r="91" spans="1:33" x14ac:dyDescent="0.25">
      <c r="A91" s="154" t="s">
        <v>316</v>
      </c>
      <c r="B91" s="68"/>
      <c r="C91" s="68"/>
      <c r="D91" s="68"/>
      <c r="E91" s="231">
        <f>SUM(T3:T22)</f>
        <v>4.5766184932256149</v>
      </c>
      <c r="F91" s="68" t="s">
        <v>305</v>
      </c>
      <c r="G91" s="68"/>
      <c r="H91" s="68" t="s">
        <v>150</v>
      </c>
      <c r="I91" s="68" t="s">
        <v>316</v>
      </c>
      <c r="J91" s="68" t="s">
        <v>124</v>
      </c>
      <c r="K91" s="68">
        <v>0</v>
      </c>
      <c r="L91" s="68">
        <v>2</v>
      </c>
      <c r="M91" s="68">
        <v>0</v>
      </c>
      <c r="N91" s="156">
        <v>1</v>
      </c>
      <c r="O91" s="156">
        <v>0</v>
      </c>
      <c r="P91" s="156">
        <v>0</v>
      </c>
      <c r="Q91" s="156">
        <f t="shared" si="13"/>
        <v>18.015000000000001</v>
      </c>
      <c r="R91" s="157"/>
      <c r="S91" s="156"/>
      <c r="T91" s="158"/>
      <c r="U91" s="159"/>
      <c r="V91" s="68"/>
      <c r="W91" s="68"/>
      <c r="X91" s="68">
        <f t="shared" si="14"/>
        <v>8.2447782155459448E-2</v>
      </c>
      <c r="Y91" s="68"/>
      <c r="Z91" s="160"/>
      <c r="AA91" s="3"/>
      <c r="AB91" s="3"/>
      <c r="AC91" s="3"/>
      <c r="AD91" s="3"/>
      <c r="AE91" s="3"/>
      <c r="AF91" s="3"/>
      <c r="AG91" s="3"/>
    </row>
    <row r="92" spans="1:33" ht="15.75" thickBot="1" x14ac:dyDescent="0.3">
      <c r="A92" s="163" t="s">
        <v>317</v>
      </c>
      <c r="B92" s="164"/>
      <c r="C92" s="164"/>
      <c r="D92" s="164"/>
      <c r="E92" s="232">
        <f>E90+E89</f>
        <v>0.63135710257627986</v>
      </c>
      <c r="F92" s="164" t="s">
        <v>313</v>
      </c>
      <c r="G92" s="164" t="s">
        <v>331</v>
      </c>
      <c r="H92" s="164" t="s">
        <v>150</v>
      </c>
      <c r="I92" s="164" t="s">
        <v>318</v>
      </c>
      <c r="J92" s="164" t="s">
        <v>298</v>
      </c>
      <c r="K92" s="164">
        <v>0</v>
      </c>
      <c r="L92" s="164">
        <v>1</v>
      </c>
      <c r="M92" s="164">
        <v>0</v>
      </c>
      <c r="N92" s="164">
        <v>4</v>
      </c>
      <c r="O92" s="164">
        <v>1</v>
      </c>
      <c r="P92" s="164">
        <v>0</v>
      </c>
      <c r="Q92" s="164">
        <f>(K92*12.011)+(L92*1.008)+(N92*15.999)+(14.007*M92)+(O92*30.974)+(P92*32.066)</f>
        <v>95.978000000000009</v>
      </c>
      <c r="R92" s="165"/>
      <c r="S92" s="164"/>
      <c r="T92" s="166"/>
      <c r="U92" s="167"/>
      <c r="V92" s="164"/>
      <c r="W92" s="164"/>
      <c r="X92" s="164"/>
      <c r="Y92" s="164"/>
      <c r="Z92" s="168"/>
      <c r="AA92" s="3"/>
      <c r="AB92" s="3"/>
      <c r="AC92" s="3"/>
      <c r="AD92" s="3"/>
      <c r="AE92" s="3"/>
      <c r="AF92" s="3"/>
      <c r="AG92" s="3"/>
    </row>
    <row r="93" spans="1:33" ht="15.75" thickBot="1" x14ac:dyDescent="0.3">
      <c r="A93" s="58"/>
      <c r="B93" s="58"/>
      <c r="C93" s="58"/>
      <c r="D93" s="58"/>
      <c r="E93" s="229">
        <f>E88-E72</f>
        <v>53.34712188804145</v>
      </c>
      <c r="F93" s="58" t="s">
        <v>297</v>
      </c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3"/>
      <c r="AB93" s="3"/>
      <c r="AC93" s="3"/>
      <c r="AD93" s="3"/>
      <c r="AE93" s="3"/>
      <c r="AF93" s="3"/>
      <c r="AG93" s="3"/>
    </row>
    <row r="94" spans="1:33" ht="14.25" customHeight="1" x14ac:dyDescent="0.25">
      <c r="A94" s="169"/>
      <c r="B94" s="170" t="s">
        <v>145</v>
      </c>
      <c r="C94" s="171"/>
      <c r="D94" s="172"/>
      <c r="E94" s="3"/>
      <c r="F94" s="5" t="s">
        <v>408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ht="18" customHeight="1" x14ac:dyDescent="0.25">
      <c r="A95" s="173"/>
      <c r="B95" s="145" t="s">
        <v>146</v>
      </c>
      <c r="C95" s="174">
        <v>53.35</v>
      </c>
      <c r="D95" s="158"/>
      <c r="E95" s="3"/>
      <c r="F95" s="3" t="s">
        <v>435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x14ac:dyDescent="0.25">
      <c r="A96" s="173"/>
      <c r="B96" s="175" t="s">
        <v>147</v>
      </c>
      <c r="C96" s="176">
        <f>'GAM estimate'!E5</f>
        <v>20.142316541844334</v>
      </c>
      <c r="D96" s="61"/>
      <c r="E96" s="61"/>
      <c r="F96" s="191" t="s">
        <v>441</v>
      </c>
      <c r="G96" s="192"/>
      <c r="H96" s="192"/>
      <c r="I96" s="192"/>
      <c r="J96" s="19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ht="15.75" thickBot="1" x14ac:dyDescent="0.3">
      <c r="A97" s="177"/>
      <c r="B97" s="178" t="s">
        <v>148</v>
      </c>
      <c r="C97" s="179">
        <f>C95-C96</f>
        <v>33.207683458155671</v>
      </c>
      <c r="D97" s="180"/>
      <c r="E97" s="180"/>
      <c r="F97" s="3" t="s">
        <v>463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x14ac:dyDescent="0.25">
      <c r="A98" s="3"/>
      <c r="B98" s="3"/>
      <c r="C98" s="3"/>
      <c r="D98" s="3"/>
      <c r="E98" s="207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x14ac:dyDescent="0.25">
      <c r="AA102" s="3"/>
      <c r="AB102" s="3"/>
      <c r="AC102" s="3"/>
      <c r="AD102" s="3"/>
      <c r="AE102" s="3"/>
      <c r="AF102" s="3"/>
      <c r="AG102" s="3"/>
    </row>
    <row r="103" spans="1:3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43761-EF1A-4284-AB39-117A4D8F530B}">
  <dimension ref="A1:H79"/>
  <sheetViews>
    <sheetView zoomScale="67" workbookViewId="0"/>
  </sheetViews>
  <sheetFormatPr defaultRowHeight="15" x14ac:dyDescent="0.25"/>
  <cols>
    <col min="2" max="2" width="49" bestFit="1" customWidth="1"/>
    <col min="5" max="5" width="38.28515625" bestFit="1" customWidth="1"/>
  </cols>
  <sheetData>
    <row r="1" spans="1:8" x14ac:dyDescent="0.25">
      <c r="A1" s="4" t="s">
        <v>4</v>
      </c>
      <c r="B1" s="5"/>
      <c r="C1" s="5"/>
      <c r="D1" s="4" t="s">
        <v>5</v>
      </c>
      <c r="E1" s="5"/>
      <c r="F1" s="3"/>
      <c r="G1" s="2" t="s">
        <v>459</v>
      </c>
      <c r="H1" s="3"/>
    </row>
    <row r="2" spans="1:8" x14ac:dyDescent="0.25">
      <c r="A2" s="5">
        <v>2.8061591595913101E-3</v>
      </c>
      <c r="B2" s="5" t="s">
        <v>6</v>
      </c>
      <c r="C2" s="5"/>
      <c r="D2" s="5">
        <v>40</v>
      </c>
      <c r="E2" s="5" t="s">
        <v>80</v>
      </c>
      <c r="F2" s="3"/>
      <c r="G2" s="3"/>
      <c r="H2" s="3"/>
    </row>
    <row r="3" spans="1:8" x14ac:dyDescent="0.25">
      <c r="A3" s="5">
        <v>2.8061591595913101E-3</v>
      </c>
      <c r="B3" s="5" t="s">
        <v>7</v>
      </c>
      <c r="C3" s="5"/>
      <c r="D3" s="5">
        <v>1</v>
      </c>
      <c r="E3" s="5" t="s">
        <v>81</v>
      </c>
      <c r="F3" s="3"/>
      <c r="G3" s="3"/>
      <c r="H3" s="3"/>
    </row>
    <row r="4" spans="1:8" x14ac:dyDescent="0.25">
      <c r="A4" s="5">
        <v>2.8061591595913101E-3</v>
      </c>
      <c r="B4" s="5" t="s">
        <v>8</v>
      </c>
      <c r="C4" s="5"/>
      <c r="D4" s="5">
        <v>2.8061591595913101E-3</v>
      </c>
      <c r="E4" s="5" t="s">
        <v>82</v>
      </c>
      <c r="F4" s="3"/>
      <c r="G4" s="3"/>
      <c r="H4" s="3"/>
    </row>
    <row r="5" spans="1:8" x14ac:dyDescent="0.25">
      <c r="A5" s="5">
        <v>2.8061591595913101E-3</v>
      </c>
      <c r="B5" s="5" t="s">
        <v>9</v>
      </c>
      <c r="C5" s="5"/>
      <c r="D5" s="5">
        <v>2.8061591595913101E-3</v>
      </c>
      <c r="E5" s="5" t="s">
        <v>83</v>
      </c>
      <c r="F5" s="3"/>
      <c r="G5" s="3"/>
      <c r="H5" s="3"/>
    </row>
    <row r="6" spans="1:8" x14ac:dyDescent="0.25">
      <c r="A6" s="5">
        <v>40.110175736507401</v>
      </c>
      <c r="B6" s="5" t="s">
        <v>10</v>
      </c>
      <c r="C6" s="5"/>
      <c r="D6" s="5">
        <v>40</v>
      </c>
      <c r="E6" s="5" t="s">
        <v>84</v>
      </c>
      <c r="F6" s="3"/>
      <c r="G6" s="3"/>
      <c r="H6" s="3"/>
    </row>
    <row r="7" spans="1:8" x14ac:dyDescent="0.25">
      <c r="A7" s="5">
        <v>2.5010597710894401E-2</v>
      </c>
      <c r="B7" s="5" t="s">
        <v>12</v>
      </c>
      <c r="C7" s="5"/>
      <c r="D7" s="5">
        <v>0.48460573629605802</v>
      </c>
      <c r="E7" s="5" t="s">
        <v>85</v>
      </c>
      <c r="F7" s="3"/>
      <c r="G7" s="3"/>
      <c r="H7" s="3"/>
    </row>
    <row r="8" spans="1:8" x14ac:dyDescent="0.25">
      <c r="A8" s="5">
        <v>2.8061591595913101E-3</v>
      </c>
      <c r="B8" s="5" t="s">
        <v>11</v>
      </c>
      <c r="C8" s="5"/>
      <c r="D8" s="5">
        <v>2.5010597710894401E-2</v>
      </c>
      <c r="E8" s="5" t="s">
        <v>86</v>
      </c>
      <c r="F8" s="3"/>
      <c r="G8" s="3"/>
      <c r="H8" s="3"/>
    </row>
    <row r="9" spans="1:8" x14ac:dyDescent="0.25">
      <c r="A9" s="5">
        <v>2.8061591595913101E-3</v>
      </c>
      <c r="B9" s="5" t="s">
        <v>14</v>
      </c>
      <c r="C9" s="5"/>
      <c r="D9" s="5">
        <v>39.997193840840403</v>
      </c>
      <c r="E9" s="5" t="s">
        <v>87</v>
      </c>
      <c r="F9" s="3"/>
      <c r="G9" s="3"/>
      <c r="H9" s="3"/>
    </row>
    <row r="10" spans="1:8" x14ac:dyDescent="0.25">
      <c r="A10" s="5">
        <v>2.8061591595913101E-3</v>
      </c>
      <c r="B10" s="5" t="s">
        <v>15</v>
      </c>
      <c r="C10" s="5"/>
      <c r="D10" s="5">
        <v>2.8061591595913101E-3</v>
      </c>
      <c r="E10" s="5" t="s">
        <v>88</v>
      </c>
      <c r="F10" s="3"/>
      <c r="G10" s="3"/>
      <c r="H10" s="3"/>
    </row>
    <row r="11" spans="1:8" x14ac:dyDescent="0.25">
      <c r="A11" s="5">
        <v>1.5499999999999999E-3</v>
      </c>
      <c r="B11" s="5" t="s">
        <v>16</v>
      </c>
      <c r="C11" s="5"/>
      <c r="D11" s="5"/>
      <c r="E11" s="5"/>
      <c r="F11" s="3"/>
      <c r="G11" s="3"/>
      <c r="H11" s="3"/>
    </row>
    <row r="12" spans="1:8" x14ac:dyDescent="0.25">
      <c r="A12" s="5">
        <v>2.8061591595913101E-3</v>
      </c>
      <c r="B12" s="5" t="s">
        <v>17</v>
      </c>
      <c r="C12" s="5"/>
      <c r="D12" s="5"/>
      <c r="E12" s="5"/>
      <c r="F12" s="3"/>
      <c r="G12" s="3"/>
      <c r="H12" s="3"/>
    </row>
    <row r="13" spans="1:8" x14ac:dyDescent="0.25">
      <c r="A13" s="5">
        <v>2.8061591595913101E-3</v>
      </c>
      <c r="B13" s="5" t="s">
        <v>18</v>
      </c>
      <c r="C13" s="5"/>
      <c r="D13" s="5"/>
      <c r="E13" s="5"/>
      <c r="F13" s="3"/>
      <c r="G13" s="3"/>
      <c r="H13" s="3"/>
    </row>
    <row r="14" spans="1:8" x14ac:dyDescent="0.25">
      <c r="A14" s="5">
        <v>2.8061591595913101E-3</v>
      </c>
      <c r="B14" s="5" t="s">
        <v>19</v>
      </c>
      <c r="C14" s="5"/>
      <c r="D14" s="5"/>
      <c r="E14" s="5"/>
      <c r="F14" s="3"/>
      <c r="G14" s="3"/>
      <c r="H14" s="3"/>
    </row>
    <row r="15" spans="1:8" x14ac:dyDescent="0.25">
      <c r="A15" s="5">
        <v>2.5010597710894401E-2</v>
      </c>
      <c r="B15" s="5" t="s">
        <v>74</v>
      </c>
      <c r="C15" s="5"/>
      <c r="D15" s="5"/>
      <c r="E15" s="3"/>
      <c r="F15" s="3"/>
      <c r="G15" s="3"/>
      <c r="H15" s="3"/>
    </row>
    <row r="16" spans="1:8" x14ac:dyDescent="0.25">
      <c r="A16" s="5">
        <v>8.4103615654486305E-2</v>
      </c>
      <c r="B16" s="5" t="s">
        <v>13</v>
      </c>
      <c r="C16" s="5"/>
      <c r="D16" s="5"/>
      <c r="E16" s="3"/>
      <c r="F16" s="3"/>
      <c r="G16" s="3"/>
      <c r="H16" s="3"/>
    </row>
    <row r="17" spans="1:8" x14ac:dyDescent="0.25">
      <c r="A17" s="5">
        <v>2.8061591595913101E-3</v>
      </c>
      <c r="B17" s="5" t="s">
        <v>20</v>
      </c>
      <c r="C17" s="5"/>
      <c r="D17" s="5"/>
      <c r="E17" s="3"/>
      <c r="F17" s="3"/>
      <c r="G17" s="3"/>
      <c r="H17" s="3"/>
    </row>
    <row r="18" spans="1:8" x14ac:dyDescent="0.25">
      <c r="A18" s="5">
        <v>1.8426483434952901E-2</v>
      </c>
      <c r="B18" s="5" t="s">
        <v>75</v>
      </c>
      <c r="C18" s="5"/>
      <c r="D18" s="5"/>
      <c r="E18" s="3"/>
      <c r="F18" s="3"/>
      <c r="G18" s="3"/>
      <c r="H18" s="3"/>
    </row>
    <row r="19" spans="1:8" x14ac:dyDescent="0.25">
      <c r="A19" s="5">
        <v>1.361734557686E-2</v>
      </c>
      <c r="B19" s="5" t="s">
        <v>76</v>
      </c>
      <c r="C19" s="5"/>
      <c r="D19" s="5"/>
      <c r="E19" s="3"/>
      <c r="F19" s="3"/>
      <c r="G19" s="3"/>
      <c r="H19" s="3"/>
    </row>
    <row r="20" spans="1:8" x14ac:dyDescent="0.25">
      <c r="A20" s="5">
        <v>1.361734557686E-2</v>
      </c>
      <c r="B20" s="5" t="s">
        <v>77</v>
      </c>
      <c r="C20" s="5"/>
      <c r="D20" s="5"/>
      <c r="E20" s="3"/>
      <c r="F20" s="3"/>
      <c r="G20" s="3"/>
      <c r="H20" s="3"/>
    </row>
    <row r="21" spans="1:8" x14ac:dyDescent="0.25">
      <c r="A21" s="5">
        <v>1</v>
      </c>
      <c r="B21" s="5" t="s">
        <v>21</v>
      </c>
      <c r="C21" s="5"/>
      <c r="D21" s="5"/>
      <c r="E21" s="3"/>
      <c r="F21" s="3"/>
      <c r="G21" s="3"/>
      <c r="H21" s="3"/>
    </row>
    <row r="22" spans="1:8" x14ac:dyDescent="0.25">
      <c r="A22" s="5">
        <v>2.8061591595913101E-3</v>
      </c>
      <c r="B22" s="5" t="s">
        <v>22</v>
      </c>
      <c r="C22" s="5"/>
      <c r="D22" s="5"/>
      <c r="E22" s="3"/>
      <c r="F22" s="3"/>
      <c r="G22" s="3"/>
      <c r="H22" s="3"/>
    </row>
    <row r="23" spans="1:8" x14ac:dyDescent="0.25">
      <c r="A23" s="5">
        <v>2.8061591595913101E-3</v>
      </c>
      <c r="B23" s="5" t="s">
        <v>24</v>
      </c>
      <c r="C23" s="5"/>
      <c r="D23" s="5"/>
      <c r="E23" s="3"/>
      <c r="F23" s="3"/>
      <c r="G23" s="3"/>
      <c r="H23" s="3"/>
    </row>
    <row r="24" spans="1:8" x14ac:dyDescent="0.25">
      <c r="A24" s="5">
        <v>2.8061591595913101E-3</v>
      </c>
      <c r="B24" s="5" t="s">
        <v>78</v>
      </c>
      <c r="C24" s="5"/>
      <c r="D24" s="5"/>
      <c r="E24" s="3"/>
      <c r="F24" s="3"/>
      <c r="G24" s="3"/>
      <c r="H24" s="3"/>
    </row>
    <row r="25" spans="1:8" x14ac:dyDescent="0.25">
      <c r="A25" s="5">
        <v>2.8061591595913101E-3</v>
      </c>
      <c r="B25" s="5" t="s">
        <v>23</v>
      </c>
      <c r="C25" s="5"/>
      <c r="D25" s="5"/>
      <c r="E25" s="3"/>
      <c r="F25" s="3"/>
      <c r="G25" s="3"/>
      <c r="H25" s="3"/>
    </row>
    <row r="26" spans="1:8" x14ac:dyDescent="0.25">
      <c r="A26" s="5">
        <v>0.50986978699103802</v>
      </c>
      <c r="B26" s="5" t="s">
        <v>27</v>
      </c>
      <c r="C26" s="5"/>
      <c r="D26" s="5"/>
      <c r="E26" s="3"/>
      <c r="F26" s="3"/>
      <c r="G26" s="3"/>
      <c r="H26" s="3"/>
    </row>
    <row r="27" spans="1:8" x14ac:dyDescent="0.25">
      <c r="A27" s="5">
        <v>2.8061591595913101E-3</v>
      </c>
      <c r="B27" s="5" t="s">
        <v>25</v>
      </c>
      <c r="C27" s="5"/>
      <c r="D27" s="5"/>
      <c r="E27" s="3"/>
      <c r="F27" s="3"/>
      <c r="G27" s="3"/>
      <c r="H27" s="3"/>
    </row>
    <row r="28" spans="1:8" x14ac:dyDescent="0.25">
      <c r="A28" s="5">
        <v>0.13540682120372299</v>
      </c>
      <c r="B28" s="5" t="s">
        <v>26</v>
      </c>
      <c r="C28" s="5"/>
      <c r="D28" s="5"/>
      <c r="E28" s="3"/>
      <c r="F28" s="3"/>
      <c r="G28" s="3"/>
      <c r="H28" s="3"/>
    </row>
    <row r="29" spans="1:8" x14ac:dyDescent="0.25">
      <c r="A29" s="5">
        <v>35.540309243043502</v>
      </c>
      <c r="B29" s="5" t="s">
        <v>28</v>
      </c>
      <c r="C29" s="5"/>
      <c r="D29" s="5"/>
      <c r="E29" s="3"/>
      <c r="F29" s="3"/>
      <c r="G29" s="3"/>
      <c r="H29" s="3"/>
    </row>
    <row r="30" spans="1:8" x14ac:dyDescent="0.25">
      <c r="A30" s="5">
        <v>2.8061591595913101E-3</v>
      </c>
      <c r="B30" s="5" t="s">
        <v>29</v>
      </c>
      <c r="C30" s="5"/>
      <c r="D30" s="5"/>
      <c r="E30" s="3"/>
      <c r="F30" s="3"/>
      <c r="G30" s="3"/>
      <c r="H30" s="3"/>
    </row>
    <row r="31" spans="1:8" x14ac:dyDescent="0.25">
      <c r="A31" s="5">
        <v>2.8061591595913101E-3</v>
      </c>
      <c r="B31" s="5" t="s">
        <v>30</v>
      </c>
      <c r="C31" s="5"/>
      <c r="D31" s="5"/>
      <c r="E31" s="3"/>
      <c r="F31" s="3"/>
      <c r="G31" s="3"/>
      <c r="H31" s="3"/>
    </row>
    <row r="32" spans="1:8" x14ac:dyDescent="0.25">
      <c r="A32" s="5">
        <v>0.42793438017326402</v>
      </c>
      <c r="B32" s="5" t="s">
        <v>31</v>
      </c>
      <c r="C32" s="5"/>
      <c r="D32" s="5"/>
      <c r="E32" s="3"/>
      <c r="F32" s="3"/>
      <c r="G32" s="3"/>
      <c r="H32" s="3"/>
    </row>
    <row r="33" spans="1:8" x14ac:dyDescent="0.25">
      <c r="A33" s="5">
        <v>0.246696822701341</v>
      </c>
      <c r="B33" s="5" t="s">
        <v>32</v>
      </c>
      <c r="C33" s="5"/>
      <c r="D33" s="5"/>
      <c r="E33" s="3"/>
      <c r="F33" s="3"/>
      <c r="G33" s="3"/>
      <c r="H33" s="3"/>
    </row>
    <row r="34" spans="1:8" x14ac:dyDescent="0.25">
      <c r="A34" s="5">
        <v>0.20083080692834801</v>
      </c>
      <c r="B34" s="5" t="s">
        <v>33</v>
      </c>
      <c r="C34" s="5"/>
      <c r="D34" s="5"/>
      <c r="E34" s="3"/>
      <c r="F34" s="3"/>
      <c r="G34" s="3"/>
      <c r="H34" s="3"/>
    </row>
    <row r="35" spans="1:8" x14ac:dyDescent="0.25">
      <c r="A35" s="5">
        <v>0.20083080692834801</v>
      </c>
      <c r="B35" s="5" t="s">
        <v>34</v>
      </c>
      <c r="C35" s="5"/>
      <c r="D35" s="5"/>
      <c r="E35" s="3"/>
      <c r="F35" s="3"/>
      <c r="G35" s="3"/>
      <c r="H35" s="3"/>
    </row>
    <row r="36" spans="1:8" x14ac:dyDescent="0.25">
      <c r="A36" s="5">
        <v>7.6146492205648397E-2</v>
      </c>
      <c r="B36" s="5" t="s">
        <v>35</v>
      </c>
      <c r="C36" s="5"/>
      <c r="D36" s="5"/>
      <c r="E36" s="3"/>
      <c r="F36" s="3"/>
      <c r="G36" s="3"/>
      <c r="H36" s="3"/>
    </row>
    <row r="37" spans="1:8" x14ac:dyDescent="0.25">
      <c r="A37" s="5">
        <v>0.21908815301274301</v>
      </c>
      <c r="B37" s="5" t="s">
        <v>36</v>
      </c>
      <c r="C37" s="5"/>
      <c r="D37" s="5"/>
      <c r="E37" s="3"/>
      <c r="F37" s="3"/>
      <c r="G37" s="3"/>
      <c r="H37" s="3"/>
    </row>
    <row r="38" spans="1:8" x14ac:dyDescent="0.25">
      <c r="A38" s="5">
        <v>0.21908815301274301</v>
      </c>
      <c r="B38" s="5" t="s">
        <v>37</v>
      </c>
      <c r="C38" s="5"/>
      <c r="D38" s="5"/>
      <c r="E38" s="3"/>
      <c r="F38" s="3"/>
      <c r="G38" s="3"/>
      <c r="H38" s="3"/>
    </row>
    <row r="39" spans="1:8" x14ac:dyDescent="0.25">
      <c r="A39" s="5">
        <v>7.9263600073715898E-2</v>
      </c>
      <c r="B39" s="5" t="s">
        <v>38</v>
      </c>
      <c r="C39" s="5"/>
      <c r="D39" s="5"/>
      <c r="E39" s="3"/>
      <c r="F39" s="3"/>
      <c r="G39" s="3"/>
      <c r="H39" s="3"/>
    </row>
    <row r="40" spans="1:8" x14ac:dyDescent="0.25">
      <c r="A40" s="5">
        <v>0.24179851033723501</v>
      </c>
      <c r="B40" s="5" t="s">
        <v>39</v>
      </c>
      <c r="C40" s="5"/>
      <c r="D40" s="5"/>
      <c r="E40" s="3"/>
      <c r="F40" s="3"/>
      <c r="G40" s="3"/>
      <c r="H40" s="3"/>
    </row>
    <row r="41" spans="1:8" x14ac:dyDescent="0.25">
      <c r="A41" s="5">
        <v>0.37538884754012702</v>
      </c>
      <c r="B41" s="5" t="s">
        <v>40</v>
      </c>
      <c r="C41" s="5"/>
      <c r="D41" s="5"/>
      <c r="E41" s="3"/>
      <c r="F41" s="3"/>
      <c r="G41" s="3"/>
      <c r="H41" s="3"/>
    </row>
    <row r="42" spans="1:8" x14ac:dyDescent="0.25">
      <c r="A42" s="5">
        <v>0.28543802049017902</v>
      </c>
      <c r="B42" s="5" t="s">
        <v>41</v>
      </c>
      <c r="C42" s="5"/>
      <c r="D42" s="5"/>
      <c r="E42" s="3"/>
      <c r="F42" s="3"/>
      <c r="G42" s="3"/>
      <c r="H42" s="3"/>
    </row>
    <row r="43" spans="1:8" x14ac:dyDescent="0.25">
      <c r="A43" s="5">
        <v>0.12780142259076699</v>
      </c>
      <c r="B43" s="5" t="s">
        <v>42</v>
      </c>
      <c r="C43" s="5"/>
      <c r="D43" s="5"/>
      <c r="E43" s="3"/>
      <c r="F43" s="3"/>
      <c r="G43" s="3"/>
      <c r="H43" s="3"/>
    </row>
    <row r="44" spans="1:8" x14ac:dyDescent="0.25">
      <c r="A44" s="5">
        <v>0.15451949003134499</v>
      </c>
      <c r="B44" s="5" t="s">
        <v>43</v>
      </c>
      <c r="C44" s="5"/>
      <c r="D44" s="5"/>
      <c r="E44" s="3"/>
      <c r="F44" s="3"/>
      <c r="G44" s="3"/>
      <c r="H44" s="3"/>
    </row>
    <row r="45" spans="1:8" x14ac:dyDescent="0.25">
      <c r="A45" s="5">
        <v>0.18435466533999101</v>
      </c>
      <c r="B45" s="5" t="s">
        <v>44</v>
      </c>
      <c r="C45" s="5"/>
      <c r="D45" s="5"/>
      <c r="E45" s="3"/>
      <c r="F45" s="3"/>
      <c r="G45" s="3"/>
      <c r="H45" s="3"/>
    </row>
    <row r="46" spans="1:8" x14ac:dyDescent="0.25">
      <c r="A46" s="5">
        <v>0.179456352975885</v>
      </c>
      <c r="B46" s="5" t="s">
        <v>45</v>
      </c>
      <c r="C46" s="5"/>
      <c r="D46" s="5"/>
      <c r="E46" s="3"/>
      <c r="F46" s="3"/>
      <c r="G46" s="3"/>
      <c r="H46" s="3"/>
    </row>
    <row r="47" spans="1:8" x14ac:dyDescent="0.25">
      <c r="A47" s="5">
        <v>0.21107273278056901</v>
      </c>
      <c r="B47" s="5" t="s">
        <v>46</v>
      </c>
      <c r="C47" s="5"/>
      <c r="D47" s="5"/>
      <c r="E47" s="3"/>
      <c r="F47" s="3"/>
      <c r="G47" s="3"/>
      <c r="H47" s="3"/>
    </row>
    <row r="48" spans="1:8" x14ac:dyDescent="0.25">
      <c r="A48" s="5">
        <v>4.7201919145021802E-2</v>
      </c>
      <c r="B48" s="5" t="s">
        <v>47</v>
      </c>
      <c r="C48" s="5"/>
      <c r="D48" s="5"/>
      <c r="E48" s="3"/>
      <c r="F48" s="3"/>
      <c r="G48" s="3"/>
      <c r="H48" s="3"/>
    </row>
    <row r="49" spans="1:8" x14ac:dyDescent="0.25">
      <c r="A49" s="5">
        <v>0.120676604606612</v>
      </c>
      <c r="B49" s="5" t="s">
        <v>48</v>
      </c>
      <c r="C49" s="5"/>
      <c r="D49" s="5"/>
      <c r="E49" s="3"/>
      <c r="F49" s="3"/>
      <c r="G49" s="3"/>
      <c r="H49" s="3"/>
    </row>
    <row r="50" spans="1:8" x14ac:dyDescent="0.25">
      <c r="A50" s="5">
        <v>0.35223318909162499</v>
      </c>
      <c r="B50" s="5" t="s">
        <v>49</v>
      </c>
      <c r="C50" s="5"/>
      <c r="D50" s="5"/>
      <c r="E50" s="3"/>
      <c r="F50" s="3"/>
      <c r="G50" s="3"/>
      <c r="H50" s="3"/>
    </row>
    <row r="51" spans="1:8" x14ac:dyDescent="0.25">
      <c r="A51" s="5">
        <v>2.8061591595913101E-3</v>
      </c>
      <c r="B51" s="5" t="s">
        <v>50</v>
      </c>
      <c r="C51" s="5"/>
      <c r="D51" s="5"/>
      <c r="E51" s="3"/>
      <c r="F51" s="3"/>
      <c r="G51" s="3"/>
      <c r="H51" s="3"/>
    </row>
    <row r="52" spans="1:8" x14ac:dyDescent="0.25">
      <c r="A52" s="5">
        <v>2.8061591595913101E-3</v>
      </c>
      <c r="B52" s="5" t="s">
        <v>51</v>
      </c>
      <c r="C52" s="5"/>
      <c r="D52" s="5"/>
      <c r="E52" s="3"/>
      <c r="F52" s="3"/>
      <c r="G52" s="3"/>
      <c r="H52" s="3"/>
    </row>
    <row r="53" spans="1:8" x14ac:dyDescent="0.25">
      <c r="A53" s="5">
        <v>2.8061591595913101E-3</v>
      </c>
      <c r="B53" s="5" t="s">
        <v>52</v>
      </c>
      <c r="C53" s="5"/>
      <c r="D53" s="5"/>
      <c r="E53" s="3"/>
      <c r="F53" s="3"/>
      <c r="G53" s="3"/>
      <c r="H53" s="3"/>
    </row>
    <row r="54" spans="1:8" x14ac:dyDescent="0.25">
      <c r="A54" s="5">
        <v>2.8061591595913101E-3</v>
      </c>
      <c r="B54" s="5" t="s">
        <v>53</v>
      </c>
      <c r="C54" s="5"/>
      <c r="D54" s="5"/>
      <c r="E54" s="3"/>
      <c r="F54" s="3"/>
      <c r="G54" s="3"/>
      <c r="H54" s="3"/>
    </row>
    <row r="55" spans="1:8" x14ac:dyDescent="0.25">
      <c r="A55" s="5">
        <v>2.8061591595913101E-3</v>
      </c>
      <c r="B55" s="5" t="s">
        <v>54</v>
      </c>
      <c r="C55" s="5"/>
      <c r="D55" s="5"/>
      <c r="E55" s="3"/>
      <c r="F55" s="3"/>
      <c r="G55" s="3"/>
      <c r="H55" s="3"/>
    </row>
    <row r="56" spans="1:8" x14ac:dyDescent="0.25">
      <c r="A56" s="5">
        <v>2.5010597710894401E-2</v>
      </c>
      <c r="B56" s="5" t="s">
        <v>55</v>
      </c>
      <c r="C56" s="5"/>
      <c r="D56" s="5"/>
      <c r="E56" s="3"/>
      <c r="F56" s="3"/>
      <c r="G56" s="3"/>
      <c r="H56" s="3"/>
    </row>
    <row r="57" spans="1:8" x14ac:dyDescent="0.25">
      <c r="A57" s="5">
        <v>3.1145344943067602E-2</v>
      </c>
      <c r="B57" s="5" t="s">
        <v>79</v>
      </c>
      <c r="C57" s="5"/>
      <c r="D57" s="5"/>
      <c r="E57" s="3"/>
      <c r="F57" s="3"/>
      <c r="G57" s="3"/>
      <c r="H57" s="3"/>
    </row>
    <row r="58" spans="1:8" x14ac:dyDescent="0.25">
      <c r="A58" s="5">
        <v>3.1145344943067602E-2</v>
      </c>
      <c r="B58" s="5" t="s">
        <v>56</v>
      </c>
      <c r="C58" s="5"/>
      <c r="D58" s="5"/>
      <c r="E58" s="3"/>
      <c r="F58" s="3"/>
      <c r="G58" s="3"/>
      <c r="H58" s="3"/>
    </row>
    <row r="59" spans="1:8" x14ac:dyDescent="0.25">
      <c r="A59" s="5">
        <v>1</v>
      </c>
      <c r="B59" s="5" t="s">
        <v>57</v>
      </c>
      <c r="C59" s="5"/>
      <c r="D59" s="5"/>
      <c r="E59" s="3"/>
      <c r="F59" s="3"/>
      <c r="G59" s="3"/>
      <c r="H59" s="3"/>
    </row>
    <row r="60" spans="1:8" x14ac:dyDescent="0.25">
      <c r="A60" s="5">
        <v>2.8061591595913101E-3</v>
      </c>
      <c r="B60" s="5" t="s">
        <v>58</v>
      </c>
      <c r="C60" s="5"/>
      <c r="D60" s="5"/>
      <c r="E60" s="3"/>
      <c r="F60" s="3"/>
      <c r="G60" s="3"/>
      <c r="H60" s="3"/>
    </row>
    <row r="61" spans="1:8" x14ac:dyDescent="0.25">
      <c r="A61" s="5">
        <v>2.8061591595913101E-3</v>
      </c>
      <c r="B61" s="5" t="s">
        <v>59</v>
      </c>
      <c r="C61" s="5"/>
      <c r="D61" s="5"/>
      <c r="E61" s="3"/>
      <c r="F61" s="3"/>
      <c r="G61" s="3"/>
      <c r="H61" s="3"/>
    </row>
    <row r="62" spans="1:8" x14ac:dyDescent="0.25">
      <c r="A62" s="5">
        <v>2.8061591595913101E-3</v>
      </c>
      <c r="B62" s="5" t="s">
        <v>61</v>
      </c>
      <c r="C62" s="5"/>
      <c r="D62" s="5"/>
      <c r="E62" s="3"/>
      <c r="F62" s="3"/>
      <c r="G62" s="3"/>
      <c r="H62" s="3"/>
    </row>
    <row r="63" spans="1:8" x14ac:dyDescent="0.25">
      <c r="A63" s="5">
        <v>1</v>
      </c>
      <c r="B63" s="5" t="s">
        <v>60</v>
      </c>
      <c r="C63" s="5"/>
      <c r="D63" s="5"/>
      <c r="E63" s="3"/>
      <c r="F63" s="3"/>
      <c r="G63" s="3"/>
      <c r="H63" s="3"/>
    </row>
    <row r="64" spans="1:8" x14ac:dyDescent="0.25">
      <c r="A64" s="5">
        <v>2.8061591595913101E-3</v>
      </c>
      <c r="B64" s="5" t="s">
        <v>62</v>
      </c>
      <c r="C64" s="5"/>
      <c r="D64" s="5"/>
      <c r="E64" s="3"/>
      <c r="F64" s="3"/>
      <c r="G64" s="3"/>
      <c r="H64" s="3"/>
    </row>
    <row r="65" spans="1:8" x14ac:dyDescent="0.25">
      <c r="A65" s="5">
        <v>2.8061591595913101E-3</v>
      </c>
      <c r="B65" s="5" t="s">
        <v>63</v>
      </c>
      <c r="C65" s="5"/>
      <c r="D65" s="5"/>
      <c r="E65" s="3"/>
      <c r="F65" s="3"/>
      <c r="G65" s="3"/>
      <c r="H65" s="3"/>
    </row>
    <row r="66" spans="1:8" x14ac:dyDescent="0.25">
      <c r="A66" s="5">
        <v>2.8061591595913101E-3</v>
      </c>
      <c r="B66" s="5" t="s">
        <v>64</v>
      </c>
      <c r="C66" s="5"/>
      <c r="D66" s="5"/>
      <c r="E66" s="3"/>
      <c r="F66" s="3"/>
      <c r="G66" s="3"/>
      <c r="H66" s="3"/>
    </row>
    <row r="67" spans="1:8" x14ac:dyDescent="0.25">
      <c r="A67" s="5">
        <v>3.1145344943067602E-2</v>
      </c>
      <c r="B67" s="5" t="s">
        <v>65</v>
      </c>
      <c r="C67" s="5"/>
      <c r="D67" s="5"/>
      <c r="E67" s="3"/>
      <c r="F67" s="3"/>
      <c r="G67" s="3"/>
      <c r="H67" s="3"/>
    </row>
    <row r="68" spans="1:8" x14ac:dyDescent="0.25">
      <c r="A68" s="5">
        <v>2.8061591595913101E-3</v>
      </c>
      <c r="B68" s="5" t="s">
        <v>66</v>
      </c>
      <c r="C68" s="5"/>
      <c r="D68" s="5"/>
      <c r="E68" s="3"/>
      <c r="F68" s="3"/>
      <c r="G68" s="3"/>
      <c r="H68" s="3"/>
    </row>
    <row r="69" spans="1:8" x14ac:dyDescent="0.25">
      <c r="A69" s="5">
        <v>2.8061591595913101E-3</v>
      </c>
      <c r="B69" s="5" t="s">
        <v>69</v>
      </c>
      <c r="C69" s="5"/>
      <c r="D69" s="5"/>
      <c r="E69" s="3"/>
      <c r="F69" s="3"/>
      <c r="G69" s="3"/>
      <c r="H69" s="3"/>
    </row>
    <row r="70" spans="1:8" x14ac:dyDescent="0.25">
      <c r="A70" s="5">
        <v>2.8061591595913101E-3</v>
      </c>
      <c r="B70" s="5" t="s">
        <v>67</v>
      </c>
      <c r="C70" s="5"/>
      <c r="D70" s="5"/>
      <c r="E70" s="3"/>
      <c r="F70" s="3"/>
      <c r="G70" s="3"/>
      <c r="H70" s="3"/>
    </row>
    <row r="71" spans="1:8" x14ac:dyDescent="0.25">
      <c r="A71" s="5">
        <v>1.8426483434952901E-2</v>
      </c>
      <c r="B71" s="5" t="s">
        <v>68</v>
      </c>
      <c r="C71" s="5"/>
      <c r="D71" s="5"/>
      <c r="E71" s="3"/>
      <c r="F71" s="3"/>
      <c r="G71" s="3"/>
      <c r="H71" s="3"/>
    </row>
    <row r="72" spans="1:8" x14ac:dyDescent="0.25">
      <c r="A72" s="5">
        <v>2.8061591595913101E-3</v>
      </c>
      <c r="B72" s="5" t="s">
        <v>72</v>
      </c>
      <c r="C72" s="5"/>
      <c r="D72" s="5"/>
      <c r="E72" s="3"/>
      <c r="F72" s="3"/>
      <c r="G72" s="3"/>
      <c r="H72" s="3"/>
    </row>
    <row r="73" spans="1:8" x14ac:dyDescent="0.25">
      <c r="A73" s="5">
        <v>2.8061591595913101E-3</v>
      </c>
      <c r="B73" s="5" t="s">
        <v>70</v>
      </c>
      <c r="C73" s="5"/>
      <c r="D73" s="5"/>
      <c r="E73" s="3"/>
      <c r="F73" s="3"/>
      <c r="G73" s="3"/>
      <c r="H73" s="3"/>
    </row>
    <row r="74" spans="1:8" x14ac:dyDescent="0.25">
      <c r="A74" s="5">
        <v>9.0831904906845201E-2</v>
      </c>
      <c r="B74" s="5" t="s">
        <v>71</v>
      </c>
      <c r="C74" s="5"/>
      <c r="D74" s="5"/>
      <c r="E74" s="3"/>
      <c r="F74" s="3"/>
      <c r="G74" s="3"/>
      <c r="H74" s="3"/>
    </row>
    <row r="75" spans="1:8" x14ac:dyDescent="0.25">
      <c r="A75" s="5">
        <v>2.8061591595913101E-3</v>
      </c>
      <c r="B75" s="5" t="s">
        <v>73</v>
      </c>
      <c r="C75" s="5"/>
      <c r="D75" s="5"/>
      <c r="E75" s="3"/>
      <c r="F75" s="3"/>
      <c r="G75" s="3"/>
      <c r="H75" s="3"/>
    </row>
    <row r="76" spans="1:8" x14ac:dyDescent="0.25">
      <c r="A76" s="5"/>
      <c r="B76" s="4"/>
      <c r="C76" s="5"/>
      <c r="D76" s="5"/>
      <c r="E76" s="3"/>
      <c r="F76" s="3"/>
      <c r="G76" s="3"/>
      <c r="H76" s="3"/>
    </row>
    <row r="77" spans="1:8" x14ac:dyDescent="0.25">
      <c r="A77" s="3"/>
      <c r="B77" s="3"/>
      <c r="C77" s="3"/>
      <c r="D77" s="3"/>
      <c r="E77" s="3"/>
      <c r="F77" s="3"/>
      <c r="G77" s="3"/>
      <c r="H77" s="3"/>
    </row>
    <row r="78" spans="1:8" x14ac:dyDescent="0.25">
      <c r="E78" s="3"/>
      <c r="F78" s="3"/>
      <c r="G78" s="3"/>
      <c r="H78" s="3"/>
    </row>
    <row r="79" spans="1:8" x14ac:dyDescent="0.25">
      <c r="F79" s="3"/>
      <c r="G79" s="3"/>
      <c r="H79" s="3"/>
    </row>
  </sheetData>
  <sortState ref="A3:C76">
    <sortCondition ref="B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FE1A5-32E3-4903-9B53-6283890A75B4}">
  <dimension ref="A1:E12"/>
  <sheetViews>
    <sheetView zoomScale="69" workbookViewId="0">
      <selection activeCell="D1" sqref="D1"/>
    </sheetView>
  </sheetViews>
  <sheetFormatPr defaultRowHeight="15" x14ac:dyDescent="0.25"/>
  <cols>
    <col min="1" max="1" width="19" bestFit="1" customWidth="1"/>
    <col min="2" max="2" width="56" bestFit="1" customWidth="1"/>
    <col min="3" max="3" width="68.5703125" bestFit="1" customWidth="1"/>
    <col min="4" max="4" width="68.85546875" bestFit="1" customWidth="1"/>
    <col min="5" max="5" width="49.140625" bestFit="1" customWidth="1"/>
  </cols>
  <sheetData>
    <row r="1" spans="1:5" x14ac:dyDescent="0.25">
      <c r="A1" s="2" t="s">
        <v>93</v>
      </c>
      <c r="B1" s="8" t="s">
        <v>95</v>
      </c>
      <c r="C1" s="8" t="s">
        <v>411</v>
      </c>
      <c r="D1" s="8" t="s">
        <v>412</v>
      </c>
      <c r="E1" s="1" t="s">
        <v>123</v>
      </c>
    </row>
    <row r="2" spans="1:5" x14ac:dyDescent="0.25">
      <c r="A2" s="3" t="s">
        <v>1</v>
      </c>
      <c r="B2" s="7">
        <v>0.56299999999999994</v>
      </c>
      <c r="C2" s="6">
        <v>0.51</v>
      </c>
      <c r="D2" s="6">
        <v>0.51</v>
      </c>
      <c r="E2">
        <v>0.51</v>
      </c>
    </row>
    <row r="3" spans="1:5" x14ac:dyDescent="0.25">
      <c r="A3" s="3" t="s">
        <v>96</v>
      </c>
      <c r="B3" s="7">
        <v>0.17699999999999999</v>
      </c>
      <c r="C3" s="6">
        <v>0</v>
      </c>
      <c r="D3" s="6">
        <f>SUM(0.025, 0.034)</f>
        <v>5.9000000000000004E-2</v>
      </c>
      <c r="E3">
        <v>0.06</v>
      </c>
    </row>
    <row r="4" spans="1:5" x14ac:dyDescent="0.25">
      <c r="A4" s="3" t="s">
        <v>94</v>
      </c>
      <c r="B4" s="6">
        <v>9.2999999999999999E-2</v>
      </c>
      <c r="C4" s="33">
        <v>0.1</v>
      </c>
      <c r="D4" s="33">
        <v>0.12</v>
      </c>
      <c r="E4" s="6">
        <v>0.12</v>
      </c>
    </row>
    <row r="5" spans="1:5" x14ac:dyDescent="0.25">
      <c r="A5" s="3" t="s">
        <v>2</v>
      </c>
      <c r="B5" s="7">
        <v>0.21</v>
      </c>
      <c r="C5" s="6">
        <v>0.17</v>
      </c>
      <c r="D5" s="33">
        <v>0.17</v>
      </c>
      <c r="E5" s="6">
        <v>0.17</v>
      </c>
    </row>
    <row r="6" spans="1:5" x14ac:dyDescent="0.25">
      <c r="A6" s="3" t="s">
        <v>0</v>
      </c>
      <c r="B6" s="6">
        <v>3.1E-2</v>
      </c>
      <c r="C6" s="6">
        <v>0.03</v>
      </c>
      <c r="D6" s="33">
        <v>3.1E-2</v>
      </c>
      <c r="E6" s="33">
        <v>3.1E-2</v>
      </c>
    </row>
    <row r="7" spans="1:5" x14ac:dyDescent="0.25">
      <c r="A7" s="3" t="s">
        <v>97</v>
      </c>
      <c r="B7" s="6">
        <v>3.9E-2</v>
      </c>
      <c r="C7" s="6">
        <v>0</v>
      </c>
      <c r="D7" s="6">
        <f>SUM(0.029, 0.01)</f>
        <v>3.9E-2</v>
      </c>
      <c r="E7">
        <v>0.04</v>
      </c>
    </row>
    <row r="8" spans="1:5" x14ac:dyDescent="0.25">
      <c r="A8" s="3" t="s">
        <v>98</v>
      </c>
      <c r="B8">
        <v>40</v>
      </c>
      <c r="C8">
        <v>39.341099999999997</v>
      </c>
      <c r="D8">
        <v>53.35</v>
      </c>
      <c r="E8">
        <v>53.35</v>
      </c>
    </row>
    <row r="9" spans="1:5" x14ac:dyDescent="0.25">
      <c r="A9" s="3" t="s">
        <v>99</v>
      </c>
      <c r="B9">
        <v>0</v>
      </c>
      <c r="C9">
        <v>3.2299999999999998E-3</v>
      </c>
      <c r="D9" s="6">
        <f>SUM(0.024)</f>
        <v>2.4E-2</v>
      </c>
      <c r="E9" s="239">
        <v>3.2299999999999998E-3</v>
      </c>
    </row>
    <row r="10" spans="1:5" x14ac:dyDescent="0.25">
      <c r="A10" s="3" t="s">
        <v>100</v>
      </c>
      <c r="B10">
        <v>0</v>
      </c>
      <c r="C10">
        <v>0.19</v>
      </c>
      <c r="D10">
        <v>3.4099999999999998E-2</v>
      </c>
      <c r="E10">
        <v>3.4000000000000002E-2</v>
      </c>
    </row>
    <row r="12" spans="1:5" x14ac:dyDescent="0.25">
      <c r="A12" s="3" t="s">
        <v>117</v>
      </c>
      <c r="B12" s="7">
        <f>SUM(B2:B7)</f>
        <v>1.1129999999999998</v>
      </c>
      <c r="C12" s="7">
        <f>SUM(C2:C7,C10)</f>
        <v>1</v>
      </c>
      <c r="D12" s="7">
        <f>SUM(D2:D7,D9:D10)</f>
        <v>0.9871000000000002</v>
      </c>
      <c r="E12" s="7">
        <f>SUM(E2:E7,E9,E10)</f>
        <v>0.96823000000000015</v>
      </c>
    </row>
  </sheetData>
  <hyperlinks>
    <hyperlink ref="B1" r:id="rId1" xr:uid="{DBB67334-3707-42E6-B339-AC00FE91B4FF}"/>
    <hyperlink ref="C1" r:id="rId2" display="Biomass composition (g/gDW) Generic cyanobacteria" xr:uid="{E9FCD10C-285C-4394-B87B-B9D314E89A5E}"/>
    <hyperlink ref="D1" r:id="rId3" xr:uid="{A12475CA-3BEB-485B-AABD-0DFB561AD65D}"/>
  </hyperlinks>
  <pageMargins left="0.7" right="0.7" top="0.75" bottom="0.75" header="0.3" footer="0.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6BF3-5436-40FA-A66B-82A16E8531B5}">
  <dimension ref="A1:I11"/>
  <sheetViews>
    <sheetView workbookViewId="0"/>
  </sheetViews>
  <sheetFormatPr defaultRowHeight="15" x14ac:dyDescent="0.25"/>
  <cols>
    <col min="1" max="1" width="26.85546875" bestFit="1" customWidth="1"/>
    <col min="3" max="3" width="12" bestFit="1" customWidth="1"/>
    <col min="4" max="4" width="24.85546875" customWidth="1"/>
  </cols>
  <sheetData>
    <row r="1" spans="1:9" x14ac:dyDescent="0.25">
      <c r="B1" s="1" t="s">
        <v>140</v>
      </c>
      <c r="C1" s="1" t="s">
        <v>141</v>
      </c>
      <c r="D1" s="1" t="s">
        <v>142</v>
      </c>
      <c r="E1" s="1" t="s">
        <v>143</v>
      </c>
    </row>
    <row r="2" spans="1:9" x14ac:dyDescent="0.25">
      <c r="A2" s="1" t="s">
        <v>1</v>
      </c>
      <c r="B2">
        <f>'Biomass composition'!E2</f>
        <v>0.51</v>
      </c>
      <c r="C2">
        <f>SUM('Amino acids and protein'!H2:H21)</f>
        <v>4.5766184932256149</v>
      </c>
      <c r="D2">
        <v>4.3239999999999998</v>
      </c>
      <c r="E2">
        <f>D2*C2</f>
        <v>19.789298364707559</v>
      </c>
    </row>
    <row r="3" spans="1:9" x14ac:dyDescent="0.25">
      <c r="A3" s="1" t="s">
        <v>0</v>
      </c>
      <c r="B3">
        <f>'Biomass composition'!E6</f>
        <v>3.1E-2</v>
      </c>
      <c r="C3">
        <f>'DNA and RNA'!G7</f>
        <v>0.10082084826987137</v>
      </c>
      <c r="D3">
        <v>1.365</v>
      </c>
      <c r="E3">
        <f t="shared" ref="E3:E4" si="0">D3*C3</f>
        <v>0.1376204578883744</v>
      </c>
    </row>
    <row r="4" spans="1:9" x14ac:dyDescent="0.25">
      <c r="A4" s="1" t="s">
        <v>2</v>
      </c>
      <c r="B4">
        <f>'Biomass composition'!E5</f>
        <v>0.17</v>
      </c>
      <c r="C4">
        <f>'DNA and RNA'!G15</f>
        <v>0.53053625430640849</v>
      </c>
      <c r="D4">
        <v>0.40600000000000003</v>
      </c>
      <c r="E4">
        <f t="shared" si="0"/>
        <v>0.21539771924840187</v>
      </c>
    </row>
    <row r="5" spans="1:9" ht="15.75" thickBot="1" x14ac:dyDescent="0.3">
      <c r="D5" s="34" t="s">
        <v>143</v>
      </c>
      <c r="E5">
        <f>SUM(E2:E4)</f>
        <v>20.142316541844334</v>
      </c>
    </row>
    <row r="6" spans="1:9" ht="15.75" thickBot="1" x14ac:dyDescent="0.3">
      <c r="A6" s="16" t="s">
        <v>144</v>
      </c>
      <c r="B6" s="17"/>
      <c r="C6" s="17"/>
      <c r="D6" s="17"/>
      <c r="E6" s="17"/>
      <c r="F6" s="17"/>
      <c r="G6" s="17"/>
      <c r="H6" s="17"/>
      <c r="I6" s="18"/>
    </row>
    <row r="7" spans="1:9" ht="15.75" thickBot="1" x14ac:dyDescent="0.3"/>
    <row r="8" spans="1:9" x14ac:dyDescent="0.25">
      <c r="A8" s="23" t="s">
        <v>145</v>
      </c>
      <c r="B8" s="19"/>
    </row>
    <row r="9" spans="1:9" x14ac:dyDescent="0.25">
      <c r="A9" s="24" t="s">
        <v>146</v>
      </c>
      <c r="B9" s="20">
        <v>53.35</v>
      </c>
    </row>
    <row r="10" spans="1:9" x14ac:dyDescent="0.25">
      <c r="A10" s="25" t="s">
        <v>147</v>
      </c>
      <c r="B10" s="21">
        <f>E5</f>
        <v>20.142316541844334</v>
      </c>
    </row>
    <row r="11" spans="1:9" ht="15.75" thickBot="1" x14ac:dyDescent="0.3">
      <c r="A11" s="26" t="s">
        <v>148</v>
      </c>
      <c r="B11" s="22">
        <f>B9-B10</f>
        <v>33.207683458155671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AAAE9-2B00-43A1-BA87-B2624A7AE069}">
  <dimension ref="A1:D8"/>
  <sheetViews>
    <sheetView workbookViewId="0"/>
  </sheetViews>
  <sheetFormatPr defaultRowHeight="15" x14ac:dyDescent="0.25"/>
  <cols>
    <col min="1" max="1" width="13.7109375" bestFit="1" customWidth="1"/>
    <col min="2" max="2" width="10.7109375" bestFit="1" customWidth="1"/>
    <col min="3" max="3" width="9.28515625" bestFit="1" customWidth="1"/>
  </cols>
  <sheetData>
    <row r="1" spans="1:4" ht="15.75" thickBot="1" x14ac:dyDescent="0.3">
      <c r="A1" s="2" t="s">
        <v>136</v>
      </c>
      <c r="B1" s="3"/>
      <c r="C1" s="3"/>
      <c r="D1" s="3"/>
    </row>
    <row r="2" spans="1:4" x14ac:dyDescent="0.25">
      <c r="A2" s="5" t="s">
        <v>80</v>
      </c>
      <c r="B2" s="35">
        <v>53.35</v>
      </c>
      <c r="C2" s="3"/>
      <c r="D2" s="3"/>
    </row>
    <row r="3" spans="1:4" x14ac:dyDescent="0.25">
      <c r="A3" s="5" t="s">
        <v>10</v>
      </c>
      <c r="B3" s="36">
        <v>53.35</v>
      </c>
      <c r="C3" s="3"/>
      <c r="D3" s="3"/>
    </row>
    <row r="4" spans="1:4" x14ac:dyDescent="0.25">
      <c r="A4" s="5" t="s">
        <v>84</v>
      </c>
      <c r="B4" s="36">
        <v>53.35</v>
      </c>
      <c r="C4" s="3"/>
      <c r="D4" s="3"/>
    </row>
    <row r="5" spans="1:4" x14ac:dyDescent="0.25">
      <c r="A5" s="5" t="s">
        <v>138</v>
      </c>
      <c r="B5" s="37">
        <f>SUM('DNA and RNA'!G7,'DNA and RNA'!G15)</f>
        <v>0.63135710257627986</v>
      </c>
      <c r="C5" s="3"/>
      <c r="D5" s="3"/>
    </row>
    <row r="6" spans="1:4" ht="15.75" thickBot="1" x14ac:dyDescent="0.3">
      <c r="A6" s="5" t="s">
        <v>137</v>
      </c>
      <c r="B6" s="38">
        <f>53.35- (40 -39.9972)</f>
        <v>53.347200000000001</v>
      </c>
      <c r="C6" s="3"/>
      <c r="D6" s="3"/>
    </row>
    <row r="7" spans="1:4" ht="15.75" thickBot="1" x14ac:dyDescent="0.3">
      <c r="A7" s="5" t="s">
        <v>124</v>
      </c>
      <c r="B7" s="39">
        <f>B2-C7</f>
        <v>48.773381506774385</v>
      </c>
      <c r="C7" s="40">
        <f>SUM('Amino acids and protein'!H2:H21)</f>
        <v>4.5766184932256149</v>
      </c>
      <c r="D7" s="3"/>
    </row>
    <row r="8" spans="1:4" x14ac:dyDescent="0.25">
      <c r="A8" s="3"/>
      <c r="B8" s="3"/>
      <c r="C8" s="3"/>
      <c r="D8" s="3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1DEA2-BA71-4507-833A-74E6E5F14AB8}">
  <dimension ref="A1:AG35"/>
  <sheetViews>
    <sheetView zoomScale="70" workbookViewId="0"/>
  </sheetViews>
  <sheetFormatPr defaultRowHeight="15" x14ac:dyDescent="0.25"/>
  <cols>
    <col min="2" max="2" width="24.140625" bestFit="1" customWidth="1"/>
    <col min="3" max="3" width="40.7109375" bestFit="1" customWidth="1"/>
    <col min="4" max="4" width="46.7109375" bestFit="1" customWidth="1"/>
    <col min="5" max="6" width="27.42578125" customWidth="1"/>
    <col min="7" max="7" width="19.85546875" bestFit="1" customWidth="1"/>
    <col min="8" max="8" width="29.42578125" bestFit="1" customWidth="1"/>
    <col min="28" max="28" width="13.5703125" bestFit="1" customWidth="1"/>
  </cols>
  <sheetData>
    <row r="1" spans="1:33" x14ac:dyDescent="0.25">
      <c r="B1" s="224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</row>
    <row r="2" spans="1:33" ht="15.75" thickBot="1" x14ac:dyDescent="0.3">
      <c r="A2" s="2" t="s">
        <v>101</v>
      </c>
      <c r="B2" s="2" t="s">
        <v>90</v>
      </c>
      <c r="C2" s="2" t="s">
        <v>128</v>
      </c>
      <c r="D2" s="2" t="s">
        <v>127</v>
      </c>
      <c r="E2" s="2" t="s">
        <v>223</v>
      </c>
      <c r="F2" s="2" t="s">
        <v>222</v>
      </c>
      <c r="G2" s="11" t="s">
        <v>131</v>
      </c>
      <c r="H2" s="3"/>
      <c r="I2" s="61"/>
      <c r="J2" s="63"/>
      <c r="K2" s="63"/>
      <c r="L2" s="63"/>
      <c r="M2" s="64"/>
      <c r="N2" s="63"/>
      <c r="O2" s="63"/>
      <c r="P2" s="63"/>
      <c r="Q2" s="65"/>
      <c r="R2" s="63"/>
      <c r="S2" s="63"/>
      <c r="T2" s="63"/>
      <c r="U2" s="63"/>
      <c r="V2" s="63"/>
      <c r="W2" s="63"/>
      <c r="X2" s="63"/>
      <c r="Y2" s="65"/>
      <c r="Z2" s="63"/>
      <c r="AA2" s="63"/>
      <c r="AB2" s="63"/>
      <c r="AC2" s="63"/>
      <c r="AD2" s="66"/>
      <c r="AE2" s="66"/>
      <c r="AF2" s="27"/>
      <c r="AG2" s="27"/>
    </row>
    <row r="3" spans="1:33" x14ac:dyDescent="0.25">
      <c r="A3" s="3" t="s">
        <v>104</v>
      </c>
      <c r="B3" s="3">
        <f>'Compiled ALL DATA'!S23</f>
        <v>312.20199999999994</v>
      </c>
      <c r="C3" s="3">
        <f>SUM(3327, 1526696, 87985)</f>
        <v>1618008</v>
      </c>
      <c r="D3" s="3">
        <f>C3/C$7</f>
        <v>0.28798202488451408</v>
      </c>
      <c r="E3" s="3">
        <f>D3*B3</f>
        <v>89.908564132995053</v>
      </c>
      <c r="F3" s="3">
        <f>E3/D$8</f>
        <v>0.29240831298757081</v>
      </c>
      <c r="G3" s="41">
        <f>(F3*0.031*1000)/B3</f>
        <v>2.9034592035331919E-2</v>
      </c>
      <c r="H3" s="3"/>
      <c r="I3" s="61"/>
      <c r="J3" s="48"/>
      <c r="K3" s="48"/>
      <c r="L3" s="48"/>
      <c r="M3" s="67"/>
      <c r="N3" s="28"/>
      <c r="O3" s="28"/>
      <c r="P3" s="28"/>
      <c r="Q3" s="28"/>
      <c r="R3" s="28"/>
      <c r="S3" s="28"/>
      <c r="T3" s="28"/>
      <c r="U3" s="28"/>
      <c r="V3" s="28"/>
      <c r="W3" s="29"/>
      <c r="X3" s="48"/>
      <c r="Y3" s="30"/>
      <c r="Z3" s="48"/>
      <c r="AA3" s="48"/>
      <c r="AB3" s="48"/>
      <c r="AC3" s="48"/>
      <c r="AD3" s="48"/>
      <c r="AE3" s="48"/>
      <c r="AF3" s="27"/>
      <c r="AG3" s="27"/>
    </row>
    <row r="4" spans="1:33" x14ac:dyDescent="0.25">
      <c r="A4" s="3" t="s">
        <v>105</v>
      </c>
      <c r="B4" s="3">
        <f>'Compiled ALL DATA'!S24</f>
        <v>286.16000000000003</v>
      </c>
      <c r="C4" s="3">
        <f>SUM(2543, 1125456, 66355)</f>
        <v>1194354</v>
      </c>
      <c r="D4" s="3">
        <f t="shared" ref="D4:D5" si="0">C4/C$7</f>
        <v>0.2125777396334993</v>
      </c>
      <c r="E4" s="3">
        <f t="shared" ref="E4:E6" si="1">D4*B4</f>
        <v>60.831245973522165</v>
      </c>
      <c r="F4" s="3">
        <f t="shared" ref="F4:F6" si="2">E4/D$8</f>
        <v>0.19784057485044201</v>
      </c>
      <c r="G4" s="42">
        <f t="shared" ref="G4:G6" si="3">(F4*0.031*1000)/B4</f>
        <v>2.1432268033141254E-2</v>
      </c>
      <c r="H4" s="3"/>
      <c r="I4" s="61"/>
      <c r="J4" s="48"/>
      <c r="K4" s="48"/>
      <c r="L4" s="48"/>
      <c r="M4" s="67"/>
      <c r="N4" s="28"/>
      <c r="O4" s="28"/>
      <c r="P4" s="28"/>
      <c r="Q4" s="28"/>
      <c r="R4" s="28"/>
      <c r="S4" s="28"/>
      <c r="T4" s="28"/>
      <c r="U4" s="28"/>
      <c r="V4" s="28"/>
      <c r="W4" s="29"/>
      <c r="X4" s="48"/>
      <c r="Y4" s="30"/>
      <c r="Z4" s="48"/>
      <c r="AA4" s="48"/>
      <c r="AB4" s="48"/>
      <c r="AC4" s="48"/>
      <c r="AD4" s="48"/>
      <c r="AE4" s="48"/>
      <c r="AF4" s="27"/>
      <c r="AG4" s="27"/>
    </row>
    <row r="5" spans="1:33" x14ac:dyDescent="0.25">
      <c r="A5" s="3" t="s">
        <v>106</v>
      </c>
      <c r="B5" s="3">
        <f>'Compiled ALL DATA'!S25</f>
        <v>328.20099999999996</v>
      </c>
      <c r="C5" s="3">
        <f>SUM(2688, 1123232, 67327)</f>
        <v>1193247</v>
      </c>
      <c r="D5" s="3">
        <f t="shared" si="0"/>
        <v>0.21238070964258013</v>
      </c>
      <c r="E5" s="3">
        <f t="shared" si="1"/>
        <v>69.703561285404433</v>
      </c>
      <c r="F5" s="3">
        <f t="shared" si="2"/>
        <v>0.2266958766524336</v>
      </c>
      <c r="G5" s="42">
        <f t="shared" si="3"/>
        <v>2.1412403302322181E-2</v>
      </c>
      <c r="H5" s="3"/>
      <c r="I5" s="61"/>
      <c r="J5" s="48"/>
      <c r="K5" s="48"/>
      <c r="L5" s="48"/>
      <c r="M5" s="67"/>
      <c r="N5" s="28"/>
      <c r="O5" s="28"/>
      <c r="P5" s="28"/>
      <c r="Q5" s="28"/>
      <c r="R5" s="28"/>
      <c r="S5" s="28"/>
      <c r="T5" s="28"/>
      <c r="U5" s="28"/>
      <c r="V5" s="28"/>
      <c r="W5" s="29"/>
      <c r="X5" s="48"/>
      <c r="Y5" s="30"/>
      <c r="Z5" s="48"/>
      <c r="AA5" s="48"/>
      <c r="AB5" s="48"/>
      <c r="AC5" s="48"/>
      <c r="AD5" s="48"/>
      <c r="AE5" s="48"/>
      <c r="AF5" s="27"/>
      <c r="AG5" s="27"/>
    </row>
    <row r="6" spans="1:33" ht="15.75" thickBot="1" x14ac:dyDescent="0.3">
      <c r="A6" s="3" t="s">
        <v>107</v>
      </c>
      <c r="B6" s="3">
        <f>'Compiled ALL DATA'!S26</f>
        <v>303.18700000000007</v>
      </c>
      <c r="C6" s="3">
        <f>SUM(2926, 1524338, 85561)</f>
        <v>1612825</v>
      </c>
      <c r="D6" s="3">
        <f>C6/C$7</f>
        <v>0.28705952583940647</v>
      </c>
      <c r="E6" s="3">
        <f t="shared" si="1"/>
        <v>87.032716460672148</v>
      </c>
      <c r="F6" s="3">
        <f t="shared" si="2"/>
        <v>0.28305523550955369</v>
      </c>
      <c r="G6" s="43">
        <f t="shared" si="3"/>
        <v>2.8941584899076021E-2</v>
      </c>
      <c r="H6" s="3"/>
      <c r="I6" s="61"/>
      <c r="J6" s="48"/>
      <c r="K6" s="48"/>
      <c r="L6" s="48"/>
      <c r="M6" s="67"/>
      <c r="N6" s="28"/>
      <c r="O6" s="28"/>
      <c r="P6" s="28"/>
      <c r="Q6" s="28"/>
      <c r="R6" s="28"/>
      <c r="S6" s="28"/>
      <c r="T6" s="28"/>
      <c r="U6" s="28"/>
      <c r="V6" s="28"/>
      <c r="W6" s="29"/>
      <c r="X6" s="48"/>
      <c r="Y6" s="30"/>
      <c r="Z6" s="48"/>
      <c r="AA6" s="48"/>
      <c r="AB6" s="48"/>
      <c r="AC6" s="48"/>
      <c r="AD6" s="48"/>
      <c r="AE6" s="48"/>
      <c r="AF6" s="27"/>
      <c r="AG6" s="27"/>
    </row>
    <row r="7" spans="1:33" x14ac:dyDescent="0.25">
      <c r="A7" s="3"/>
      <c r="B7" s="13" t="s">
        <v>125</v>
      </c>
      <c r="C7" s="14">
        <f>SUM(C3:C6)</f>
        <v>5618434</v>
      </c>
      <c r="D7" s="3"/>
      <c r="E7" s="3"/>
      <c r="F7" s="3"/>
      <c r="G7" s="31">
        <f>SUM(G3:G6)</f>
        <v>0.10082084826987137</v>
      </c>
      <c r="H7" s="3"/>
      <c r="I7" s="61"/>
      <c r="J7" s="68"/>
      <c r="K7" s="6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27"/>
      <c r="AG7" s="27"/>
    </row>
    <row r="8" spans="1:33" x14ac:dyDescent="0.25">
      <c r="A8" s="3"/>
      <c r="B8" s="3"/>
      <c r="C8" s="13" t="s">
        <v>102</v>
      </c>
      <c r="D8" s="14">
        <f>SUM(B3*D3,B4*D4,B5*D5,B6*D6)</f>
        <v>307.47608785259376</v>
      </c>
      <c r="E8" s="14"/>
      <c r="F8" s="14"/>
      <c r="G8" s="31"/>
      <c r="H8" s="3"/>
      <c r="I8" s="61"/>
      <c r="J8" s="68"/>
      <c r="K8" s="6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27"/>
      <c r="AG8" s="27"/>
    </row>
    <row r="9" spans="1:33" x14ac:dyDescent="0.25">
      <c r="A9" s="3"/>
      <c r="B9" s="224"/>
      <c r="C9" s="3"/>
      <c r="D9" s="3"/>
      <c r="E9" s="3"/>
      <c r="F9" s="3"/>
      <c r="G9" s="31"/>
      <c r="H9" s="3"/>
      <c r="I9" s="61"/>
      <c r="J9" s="61"/>
      <c r="K9" s="61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</row>
    <row r="10" spans="1:33" ht="15.75" thickBot="1" x14ac:dyDescent="0.3">
      <c r="A10" s="3"/>
      <c r="B10" s="2" t="s">
        <v>90</v>
      </c>
      <c r="C10" s="2" t="s">
        <v>130</v>
      </c>
      <c r="D10" s="2" t="s">
        <v>129</v>
      </c>
      <c r="E10" s="2" t="s">
        <v>223</v>
      </c>
      <c r="F10" s="2" t="s">
        <v>222</v>
      </c>
      <c r="G10" s="32" t="s">
        <v>131</v>
      </c>
      <c r="H10" s="3"/>
      <c r="I10" s="61"/>
      <c r="J10" s="61"/>
      <c r="K10" s="61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</row>
    <row r="11" spans="1:33" x14ac:dyDescent="0.25">
      <c r="A11" s="3" t="s">
        <v>109</v>
      </c>
      <c r="B11">
        <f>'Compiled ALL DATA'!S27</f>
        <v>304.17500000000001</v>
      </c>
      <c r="C11" s="3">
        <v>1032621</v>
      </c>
      <c r="D11" s="3">
        <f>C11/C$15</f>
        <v>0.20930422051776101</v>
      </c>
      <c r="E11" s="3">
        <f>D11*B11</f>
        <v>63.665111275989958</v>
      </c>
      <c r="F11" s="3">
        <f>E11/D$16</f>
        <v>0.19868617450802589</v>
      </c>
      <c r="G11" s="41">
        <f>F11*0.17*1000/B11</f>
        <v>0.11104347716401547</v>
      </c>
      <c r="H11" s="3"/>
      <c r="I11" s="61"/>
      <c r="J11" s="61"/>
      <c r="K11" s="61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</row>
    <row r="12" spans="1:33" x14ac:dyDescent="0.25">
      <c r="A12" s="3" t="s">
        <v>110</v>
      </c>
      <c r="B12">
        <f>'Compiled ALL DATA'!S28</f>
        <v>344.2</v>
      </c>
      <c r="C12" s="3">
        <v>1116977</v>
      </c>
      <c r="D12" s="3">
        <f t="shared" ref="D12:D14" si="4">C12/C$15</f>
        <v>0.22640252359894592</v>
      </c>
      <c r="E12" s="3">
        <f>D12*B12</f>
        <v>77.927748622757179</v>
      </c>
      <c r="F12" s="3">
        <f t="shared" ref="F12:F14" si="5">E12/D$16</f>
        <v>0.24319703447558219</v>
      </c>
      <c r="G12" s="42">
        <f t="shared" ref="G12:G14" si="6">F12*0.17*1000/B12</f>
        <v>0.12011474683570302</v>
      </c>
      <c r="H12" s="3"/>
      <c r="I12" s="61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</row>
    <row r="13" spans="1:33" x14ac:dyDescent="0.25">
      <c r="A13" s="3" t="s">
        <v>111</v>
      </c>
      <c r="B13">
        <f>'Compiled ALL DATA'!S29</f>
        <v>305.15900000000005</v>
      </c>
      <c r="C13" s="3">
        <v>1362607</v>
      </c>
      <c r="D13" s="3">
        <f t="shared" si="4"/>
        <v>0.2761898082714227</v>
      </c>
      <c r="E13" s="3">
        <f t="shared" ref="E12:E14" si="7">D13*B13</f>
        <v>84.281805702299096</v>
      </c>
      <c r="F13" s="3">
        <f t="shared" si="5"/>
        <v>0.26302678531457802</v>
      </c>
      <c r="G13" s="42">
        <f t="shared" si="6"/>
        <v>0.14652870635792573</v>
      </c>
      <c r="H13" s="3"/>
      <c r="I13" s="61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</row>
    <row r="14" spans="1:33" ht="15.75" thickBot="1" x14ac:dyDescent="0.3">
      <c r="A14" s="3" t="s">
        <v>108</v>
      </c>
      <c r="B14">
        <f>'Compiled ALL DATA'!S30</f>
        <v>328.20099999999996</v>
      </c>
      <c r="C14" s="3">
        <v>1421384</v>
      </c>
      <c r="D14" s="3">
        <f t="shared" si="4"/>
        <v>0.2881034476118704</v>
      </c>
      <c r="E14" s="3">
        <f t="shared" si="7"/>
        <v>94.555839609663465</v>
      </c>
      <c r="F14" s="3">
        <f t="shared" si="5"/>
        <v>0.29509000570181404</v>
      </c>
      <c r="G14" s="43">
        <f t="shared" si="6"/>
        <v>0.1528493239487643</v>
      </c>
      <c r="H14" s="3"/>
      <c r="I14" s="61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</row>
    <row r="15" spans="1:33" x14ac:dyDescent="0.25">
      <c r="A15" s="3"/>
      <c r="B15" s="13" t="s">
        <v>125</v>
      </c>
      <c r="C15" s="14">
        <f>SUM(C11:C14)</f>
        <v>4933589</v>
      </c>
      <c r="D15" s="3"/>
      <c r="E15" s="3"/>
      <c r="F15" s="3"/>
      <c r="G15" s="31">
        <f>SUM(G11:G14)</f>
        <v>0.53053625430640849</v>
      </c>
      <c r="H15" s="3"/>
      <c r="I15" s="3"/>
    </row>
    <row r="16" spans="1:33" x14ac:dyDescent="0.25">
      <c r="A16" s="3"/>
      <c r="B16" s="3"/>
      <c r="C16" s="13" t="s">
        <v>103</v>
      </c>
      <c r="D16" s="14">
        <f>SUM(B11*D11,B12*D12,B13*D13,B14*D14)</f>
        <v>320.43050521070967</v>
      </c>
      <c r="E16" s="14"/>
      <c r="F16" s="14"/>
      <c r="G16" s="3"/>
      <c r="H16" s="3"/>
      <c r="I16" s="3"/>
    </row>
    <row r="17" spans="1:10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</row>
    <row r="32" spans="1:10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10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spans="1:10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E65A7-272C-45B7-987B-AB7E03E5FFA2}">
  <dimension ref="A1:O29"/>
  <sheetViews>
    <sheetView zoomScale="90" workbookViewId="0"/>
  </sheetViews>
  <sheetFormatPr defaultRowHeight="15" x14ac:dyDescent="0.25"/>
  <cols>
    <col min="1" max="1" width="22.85546875" bestFit="1" customWidth="1"/>
    <col min="2" max="2" width="24" bestFit="1" customWidth="1"/>
    <col min="3" max="4" width="24" customWidth="1"/>
    <col min="5" max="5" width="43.28515625" bestFit="1" customWidth="1"/>
    <col min="6" max="6" width="24.28515625" customWidth="1"/>
    <col min="7" max="7" width="21" bestFit="1" customWidth="1"/>
    <col min="8" max="8" width="27.5703125" bestFit="1" customWidth="1"/>
  </cols>
  <sheetData>
    <row r="1" spans="1:15" ht="15.75" thickBot="1" x14ac:dyDescent="0.3">
      <c r="A1" s="2" t="s">
        <v>89</v>
      </c>
      <c r="B1" s="2" t="s">
        <v>90</v>
      </c>
      <c r="C1" s="2" t="s">
        <v>132</v>
      </c>
      <c r="D1" s="2" t="s">
        <v>126</v>
      </c>
      <c r="E1" s="2" t="s">
        <v>91</v>
      </c>
      <c r="F1" s="2" t="s">
        <v>133</v>
      </c>
      <c r="G1" s="2" t="s">
        <v>134</v>
      </c>
      <c r="H1" s="11" t="s">
        <v>135</v>
      </c>
      <c r="I1" s="3"/>
      <c r="J1" s="3"/>
      <c r="K1" s="3"/>
      <c r="L1" s="3"/>
      <c r="M1" s="3"/>
      <c r="N1" s="3"/>
      <c r="O1" s="3"/>
    </row>
    <row r="2" spans="1:15" x14ac:dyDescent="0.25">
      <c r="A2" s="5" t="s">
        <v>31</v>
      </c>
      <c r="B2" s="5">
        <f>'Compiled ALL DATA'!S3</f>
        <v>71.079000000000008</v>
      </c>
      <c r="C2" s="5">
        <v>71.09</v>
      </c>
      <c r="D2" s="5">
        <v>136527</v>
      </c>
      <c r="E2" s="5">
        <f>D2/D$22</f>
        <v>8.6163545828047791E-2</v>
      </c>
      <c r="F2" s="15">
        <f>E2*C2</f>
        <v>6.1253664729159176</v>
      </c>
      <c r="G2" s="5">
        <f>F2/E$23</f>
        <v>5.4967579368100289E-2</v>
      </c>
      <c r="H2" s="44">
        <f>G2*0.51*1000/C2</f>
        <v>0.3943376772785363</v>
      </c>
      <c r="I2" s="3"/>
      <c r="J2" s="3"/>
      <c r="K2" s="3"/>
      <c r="L2" s="3"/>
      <c r="M2" s="3"/>
      <c r="N2" s="3"/>
      <c r="O2" s="3"/>
    </row>
    <row r="3" spans="1:15" x14ac:dyDescent="0.25">
      <c r="A3" s="5" t="s">
        <v>32</v>
      </c>
      <c r="B3" s="5">
        <f>'Compiled ALL DATA'!S4</f>
        <v>157.197</v>
      </c>
      <c r="C3" s="5">
        <v>156.19999999999999</v>
      </c>
      <c r="D3" s="5">
        <v>88143</v>
      </c>
      <c r="E3" s="5">
        <f t="shared" ref="E3:E21" si="0">D3/D$22</f>
        <v>5.5627922827877388E-2</v>
      </c>
      <c r="F3" s="15">
        <f t="shared" ref="F3:F21" si="1">E3*C3</f>
        <v>8.6890815457144477</v>
      </c>
      <c r="G3" s="5">
        <f t="shared" ref="G3:G21" si="2">F3/E$23</f>
        <v>7.7973747629925788E-2</v>
      </c>
      <c r="H3" s="45">
        <f t="shared" ref="H3:H21" si="3">G3*0.51*1000/C3</f>
        <v>0.25458778035379098</v>
      </c>
      <c r="I3" s="3"/>
      <c r="J3" s="3"/>
      <c r="K3" s="3"/>
      <c r="L3" s="3"/>
      <c r="M3" s="3"/>
      <c r="N3" s="3"/>
      <c r="O3" s="3"/>
    </row>
    <row r="4" spans="1:15" x14ac:dyDescent="0.25">
      <c r="A4" s="5" t="s">
        <v>33</v>
      </c>
      <c r="B4" s="5">
        <f>'Compiled ALL DATA'!S5</f>
        <v>114.104</v>
      </c>
      <c r="C4" s="5">
        <v>114.12</v>
      </c>
      <c r="D4" s="5">
        <v>64717</v>
      </c>
      <c r="E4" s="5">
        <f t="shared" si="0"/>
        <v>4.0843541536500244E-2</v>
      </c>
      <c r="F4" s="15">
        <f t="shared" si="1"/>
        <v>4.6610649601454082</v>
      </c>
      <c r="G4" s="5">
        <f t="shared" si="2"/>
        <v>4.1827286460249781E-2</v>
      </c>
      <c r="H4" s="45">
        <f t="shared" si="3"/>
        <v>0.18692530752477557</v>
      </c>
      <c r="I4" s="3"/>
      <c r="J4" s="3"/>
      <c r="K4" s="3"/>
      <c r="L4" s="3"/>
      <c r="M4" s="3"/>
      <c r="N4" s="3"/>
      <c r="O4" s="3"/>
    </row>
    <row r="5" spans="1:15" x14ac:dyDescent="0.25">
      <c r="A5" s="5" t="s">
        <v>34</v>
      </c>
      <c r="B5" s="5">
        <f>'Compiled ALL DATA'!S6</f>
        <v>114.08</v>
      </c>
      <c r="C5" s="5">
        <v>115.1</v>
      </c>
      <c r="D5" s="5">
        <v>74914</v>
      </c>
      <c r="E5" s="5">
        <f t="shared" si="0"/>
        <v>4.7278969523701336E-2</v>
      </c>
      <c r="F5" s="15">
        <f t="shared" si="1"/>
        <v>5.4418093921780235</v>
      </c>
      <c r="G5" s="5">
        <f t="shared" si="2"/>
        <v>4.8833500982060365E-2</v>
      </c>
      <c r="H5" s="45">
        <f t="shared" si="3"/>
        <v>0.2163778062628218</v>
      </c>
      <c r="I5" s="3"/>
      <c r="J5" s="3"/>
      <c r="K5" s="3"/>
      <c r="L5" s="3"/>
      <c r="M5" s="3"/>
      <c r="N5" s="3"/>
      <c r="O5" s="3"/>
    </row>
    <row r="6" spans="1:15" x14ac:dyDescent="0.25">
      <c r="A6" s="5" t="s">
        <v>35</v>
      </c>
      <c r="B6" s="5">
        <f>'Compiled ALL DATA'!S7</f>
        <v>103.14500000000001</v>
      </c>
      <c r="C6" s="5">
        <v>103.15</v>
      </c>
      <c r="D6" s="5">
        <v>16799</v>
      </c>
      <c r="E6" s="5">
        <f t="shared" si="0"/>
        <v>1.0602015765126127E-2</v>
      </c>
      <c r="F6" s="15">
        <f t="shared" si="1"/>
        <v>1.09359792617276</v>
      </c>
      <c r="G6" s="5">
        <f t="shared" si="2"/>
        <v>9.8136872413243804E-3</v>
      </c>
      <c r="H6" s="45">
        <f t="shared" si="3"/>
        <v>4.8521381416145745E-2</v>
      </c>
      <c r="I6" s="3"/>
      <c r="J6" s="3"/>
      <c r="K6" s="3"/>
      <c r="L6" s="3"/>
      <c r="M6" s="3"/>
      <c r="N6" s="3"/>
      <c r="O6" s="3"/>
    </row>
    <row r="7" spans="1:15" x14ac:dyDescent="0.25">
      <c r="A7" s="5" t="s">
        <v>36</v>
      </c>
      <c r="B7" s="5">
        <f>'Compiled ALL DATA'!S8</f>
        <v>128.13099999999997</v>
      </c>
      <c r="C7" s="5">
        <v>129.13</v>
      </c>
      <c r="D7" s="5">
        <v>95479</v>
      </c>
      <c r="E7" s="5">
        <f t="shared" si="0"/>
        <v>6.0257745296653224E-2</v>
      </c>
      <c r="F7" s="15">
        <f t="shared" si="1"/>
        <v>7.7810826501568302</v>
      </c>
      <c r="G7" s="5">
        <f t="shared" si="2"/>
        <v>6.9825581870636727E-2</v>
      </c>
      <c r="H7" s="45">
        <f t="shared" si="3"/>
        <v>0.27577671148474203</v>
      </c>
      <c r="I7" s="3"/>
      <c r="J7" s="3"/>
      <c r="K7" s="3"/>
      <c r="L7" s="3"/>
      <c r="M7" s="3"/>
      <c r="N7" s="3"/>
      <c r="O7" s="3"/>
    </row>
    <row r="8" spans="1:15" x14ac:dyDescent="0.25">
      <c r="A8" s="5" t="s">
        <v>37</v>
      </c>
      <c r="B8" s="5">
        <f>'Compiled ALL DATA'!S9</f>
        <v>128.10700000000003</v>
      </c>
      <c r="C8" s="5">
        <v>128.15</v>
      </c>
      <c r="D8" s="5">
        <v>90843</v>
      </c>
      <c r="E8" s="5">
        <f t="shared" si="0"/>
        <v>5.7331919647083326E-2</v>
      </c>
      <c r="F8" s="15">
        <f t="shared" si="1"/>
        <v>7.3470855027737283</v>
      </c>
      <c r="G8" s="5">
        <f t="shared" si="2"/>
        <v>6.5930994869223644E-2</v>
      </c>
      <c r="H8" s="45">
        <f t="shared" si="3"/>
        <v>0.26238632370896653</v>
      </c>
      <c r="I8" s="3"/>
      <c r="J8" s="3"/>
      <c r="K8" s="3"/>
      <c r="L8" s="3"/>
      <c r="M8" s="3"/>
      <c r="N8" s="3"/>
      <c r="O8" s="3"/>
    </row>
    <row r="9" spans="1:15" x14ac:dyDescent="0.25">
      <c r="A9" s="5" t="s">
        <v>27</v>
      </c>
      <c r="B9" s="5">
        <f>'Compiled ALL DATA'!S10</f>
        <v>57.052000000000007</v>
      </c>
      <c r="C9" s="5">
        <v>57.069999999999993</v>
      </c>
      <c r="D9" s="5">
        <v>102714</v>
      </c>
      <c r="E9" s="5">
        <f t="shared" si="0"/>
        <v>6.4823825662192094E-2</v>
      </c>
      <c r="F9" s="15">
        <f t="shared" si="1"/>
        <v>3.6994957305413023</v>
      </c>
      <c r="G9" s="5">
        <f t="shared" si="2"/>
        <v>3.3198393286283392E-2</v>
      </c>
      <c r="H9" s="45">
        <f t="shared" si="3"/>
        <v>0.29667391932722148</v>
      </c>
      <c r="I9" s="3"/>
      <c r="J9" s="3"/>
      <c r="K9" s="3"/>
      <c r="L9" s="3"/>
      <c r="M9" s="3"/>
      <c r="N9" s="3"/>
      <c r="O9" s="3"/>
    </row>
    <row r="10" spans="1:15" x14ac:dyDescent="0.25">
      <c r="A10" s="5" t="s">
        <v>38</v>
      </c>
      <c r="B10" s="5">
        <f>'Compiled ALL DATA'!S11</f>
        <v>137.142</v>
      </c>
      <c r="C10" s="5">
        <v>137.16</v>
      </c>
      <c r="D10" s="5">
        <v>31431</v>
      </c>
      <c r="E10" s="5">
        <f t="shared" si="0"/>
        <v>1.9836416305356229E-2</v>
      </c>
      <c r="F10" s="15">
        <f t="shared" si="1"/>
        <v>2.7207628604426604</v>
      </c>
      <c r="G10" s="5">
        <f t="shared" si="2"/>
        <v>2.4415477691731968E-2</v>
      </c>
      <c r="H10" s="45">
        <f t="shared" si="3"/>
        <v>9.0783709702415463E-2</v>
      </c>
      <c r="I10" s="3"/>
      <c r="J10" s="3"/>
      <c r="K10" s="3"/>
      <c r="L10" s="3"/>
      <c r="M10" s="3"/>
      <c r="N10" s="3"/>
      <c r="O10" s="3"/>
    </row>
    <row r="11" spans="1:15" x14ac:dyDescent="0.25">
      <c r="A11" s="5" t="s">
        <v>39</v>
      </c>
      <c r="B11" s="5">
        <f>'Compiled ALL DATA'!S12</f>
        <v>113.16000000000001</v>
      </c>
      <c r="C11" s="5">
        <v>113.18</v>
      </c>
      <c r="D11" s="5">
        <v>102964</v>
      </c>
      <c r="E11" s="5">
        <f t="shared" si="0"/>
        <v>6.4981603145451899E-2</v>
      </c>
      <c r="F11" s="15">
        <f t="shared" si="1"/>
        <v>7.3546178440022461</v>
      </c>
      <c r="G11" s="5">
        <f t="shared" si="2"/>
        <v>6.599858830483879E-2</v>
      </c>
      <c r="H11" s="45">
        <f t="shared" si="3"/>
        <v>0.29739600667492294</v>
      </c>
      <c r="I11" s="3"/>
      <c r="J11" s="3"/>
      <c r="K11" s="3"/>
      <c r="L11" s="3"/>
      <c r="M11" s="3"/>
      <c r="N11" s="3"/>
      <c r="O11" s="3"/>
    </row>
    <row r="12" spans="1:15" x14ac:dyDescent="0.25">
      <c r="A12" s="5" t="s">
        <v>40</v>
      </c>
      <c r="B12" s="5">
        <f>'Compiled ALL DATA'!S13</f>
        <v>113.16000000000001</v>
      </c>
      <c r="C12" s="5">
        <v>113.18</v>
      </c>
      <c r="D12" s="5">
        <v>174412</v>
      </c>
      <c r="E12" s="5">
        <f t="shared" si="0"/>
        <v>0.11007314564123925</v>
      </c>
      <c r="F12" s="12">
        <f t="shared" si="1"/>
        <v>12.45807862367546</v>
      </c>
      <c r="G12" s="3">
        <f t="shared" si="2"/>
        <v>0.11179582944935652</v>
      </c>
      <c r="H12" s="45">
        <f t="shared" si="3"/>
        <v>0.50376279394921208</v>
      </c>
      <c r="I12" s="3"/>
      <c r="J12" s="3"/>
      <c r="K12" s="3"/>
      <c r="L12" s="3"/>
      <c r="M12" s="3"/>
      <c r="N12" s="3"/>
      <c r="O12" s="3"/>
    </row>
    <row r="13" spans="1:15" x14ac:dyDescent="0.25">
      <c r="A13" s="5" t="s">
        <v>41</v>
      </c>
      <c r="B13" s="5">
        <f>'Compiled ALL DATA'!S14</f>
        <v>129.18299999999999</v>
      </c>
      <c r="C13" s="5">
        <v>128.19</v>
      </c>
      <c r="D13" s="5">
        <v>66613</v>
      </c>
      <c r="E13" s="5">
        <f t="shared" si="0"/>
        <v>4.2040125969542631E-2</v>
      </c>
      <c r="F13" s="12">
        <f t="shared" si="1"/>
        <v>5.3891237480356695</v>
      </c>
      <c r="G13" s="3">
        <f t="shared" si="2"/>
        <v>4.836071256380664E-2</v>
      </c>
      <c r="H13" s="45">
        <f t="shared" si="3"/>
        <v>0.19240161796974325</v>
      </c>
      <c r="I13" s="3"/>
      <c r="J13" s="3"/>
      <c r="K13" s="3"/>
      <c r="L13" s="3"/>
      <c r="M13" s="3"/>
      <c r="N13" s="3"/>
      <c r="O13" s="3"/>
    </row>
    <row r="14" spans="1:15" x14ac:dyDescent="0.25">
      <c r="A14" s="5" t="s">
        <v>42</v>
      </c>
      <c r="B14" s="5">
        <f>'Compiled ALL DATA'!S15</f>
        <v>131.19900000000001</v>
      </c>
      <c r="C14" s="5">
        <v>131.21</v>
      </c>
      <c r="D14" s="5">
        <v>29569</v>
      </c>
      <c r="E14" s="5">
        <f t="shared" si="0"/>
        <v>1.8661289610037171E-2</v>
      </c>
      <c r="F14" s="12">
        <f t="shared" si="1"/>
        <v>2.4485478097329776</v>
      </c>
      <c r="G14" s="3">
        <f t="shared" si="2"/>
        <v>2.1972684681511805E-2</v>
      </c>
      <c r="H14" s="45">
        <f t="shared" si="3"/>
        <v>8.5405603136735148E-2</v>
      </c>
      <c r="I14" s="3"/>
      <c r="J14" s="3"/>
      <c r="K14" s="3"/>
      <c r="L14" s="3"/>
      <c r="M14" s="3"/>
      <c r="N14" s="3"/>
      <c r="O14" s="3"/>
    </row>
    <row r="15" spans="1:15" x14ac:dyDescent="0.25">
      <c r="A15" s="5" t="s">
        <v>43</v>
      </c>
      <c r="B15" s="5">
        <f>'Compiled ALL DATA'!S16</f>
        <v>147.17699999999996</v>
      </c>
      <c r="C15" s="5">
        <v>147.19</v>
      </c>
      <c r="D15" s="5">
        <v>62011</v>
      </c>
      <c r="E15" s="5">
        <f t="shared" si="0"/>
        <v>3.913575805769607E-2</v>
      </c>
      <c r="F15" s="12">
        <f t="shared" si="1"/>
        <v>5.7603922285122842</v>
      </c>
      <c r="G15" s="3">
        <f t="shared" si="2"/>
        <v>5.1692387453416533E-2</v>
      </c>
      <c r="H15" s="45">
        <f t="shared" si="3"/>
        <v>0.17910943407325519</v>
      </c>
      <c r="I15" s="3"/>
      <c r="J15" s="3"/>
      <c r="K15" s="3"/>
      <c r="L15" s="3"/>
      <c r="M15" s="3"/>
      <c r="N15" s="3"/>
      <c r="O15" s="3"/>
    </row>
    <row r="16" spans="1:15" x14ac:dyDescent="0.25">
      <c r="A16" s="5" t="s">
        <v>44</v>
      </c>
      <c r="B16" s="5">
        <f>'Compiled ALL DATA'!S17</f>
        <v>97.117000000000004</v>
      </c>
      <c r="C16" s="5">
        <v>97.13</v>
      </c>
      <c r="D16" s="5">
        <v>74321</v>
      </c>
      <c r="E16" s="5">
        <f t="shared" si="0"/>
        <v>4.6904721333409068E-2</v>
      </c>
      <c r="F16" s="12">
        <f t="shared" si="1"/>
        <v>4.5558555831140222</v>
      </c>
      <c r="G16" s="3">
        <f t="shared" si="2"/>
        <v>4.0883162576754513E-2</v>
      </c>
      <c r="H16" s="45">
        <f t="shared" si="3"/>
        <v>0.21466501507407396</v>
      </c>
      <c r="I16" s="3"/>
      <c r="J16" s="3"/>
      <c r="K16" s="3"/>
      <c r="L16" s="3"/>
      <c r="M16" s="3"/>
      <c r="N16" s="3"/>
      <c r="O16" s="3"/>
    </row>
    <row r="17" spans="1:15" x14ac:dyDescent="0.25">
      <c r="A17" s="5" t="s">
        <v>45</v>
      </c>
      <c r="B17" s="5">
        <f>'Compiled ALL DATA'!S18</f>
        <v>87.078000000000003</v>
      </c>
      <c r="C17" s="5">
        <v>87.09</v>
      </c>
      <c r="D17" s="5">
        <v>99199</v>
      </c>
      <c r="E17" s="5">
        <f t="shared" si="0"/>
        <v>6.2605474247559176E-2</v>
      </c>
      <c r="F17" s="12">
        <f t="shared" si="1"/>
        <v>5.4523107522199288</v>
      </c>
      <c r="G17" s="3">
        <f t="shared" si="2"/>
        <v>4.8927737685142338E-2</v>
      </c>
      <c r="H17" s="45">
        <f t="shared" si="3"/>
        <v>0.28652137121853932</v>
      </c>
      <c r="I17" s="3"/>
      <c r="J17" s="3"/>
      <c r="K17" s="3"/>
      <c r="L17" s="3"/>
      <c r="M17" s="3"/>
      <c r="N17" s="3"/>
      <c r="O17" s="3"/>
    </row>
    <row r="18" spans="1:15" x14ac:dyDescent="0.25">
      <c r="A18" s="5" t="s">
        <v>46</v>
      </c>
      <c r="B18" s="5">
        <f>'Compiled ALL DATA'!S19</f>
        <v>101.105</v>
      </c>
      <c r="C18" s="5">
        <v>101.12</v>
      </c>
      <c r="D18" s="5">
        <v>91909</v>
      </c>
      <c r="E18" s="5">
        <f t="shared" si="0"/>
        <v>5.8004682835703154E-2</v>
      </c>
      <c r="F18" s="12">
        <f t="shared" si="1"/>
        <v>5.865433528346303</v>
      </c>
      <c r="G18" s="3">
        <f t="shared" si="2"/>
        <v>5.2635003052186789E-2</v>
      </c>
      <c r="H18" s="45">
        <f t="shared" si="3"/>
        <v>0.26546530415956548</v>
      </c>
      <c r="I18" s="3"/>
      <c r="J18" s="3"/>
      <c r="K18" s="3"/>
      <c r="L18" s="3"/>
      <c r="M18" s="3"/>
      <c r="N18" s="3"/>
      <c r="O18" s="3"/>
    </row>
    <row r="19" spans="1:15" x14ac:dyDescent="0.25">
      <c r="A19" s="3" t="s">
        <v>47</v>
      </c>
      <c r="B19" s="5">
        <f>'Compiled ALL DATA'!S20</f>
        <v>186.214</v>
      </c>
      <c r="C19" s="3">
        <v>186.23</v>
      </c>
      <c r="D19" s="3">
        <v>23207</v>
      </c>
      <c r="E19" s="3">
        <f t="shared" si="0"/>
        <v>1.4646168216041552E-2</v>
      </c>
      <c r="F19" s="12">
        <f t="shared" si="1"/>
        <v>2.7275559068734179</v>
      </c>
      <c r="G19" s="3">
        <f t="shared" si="2"/>
        <v>2.4476436871967936E-2</v>
      </c>
      <c r="H19" s="45">
        <f t="shared" si="3"/>
        <v>6.7029924312428976E-2</v>
      </c>
      <c r="I19" s="3"/>
      <c r="J19" s="3"/>
      <c r="K19" s="3"/>
      <c r="L19" s="3"/>
      <c r="M19" s="3"/>
      <c r="N19" s="3"/>
      <c r="O19" s="3"/>
    </row>
    <row r="20" spans="1:15" x14ac:dyDescent="0.25">
      <c r="A20" s="3" t="s">
        <v>48</v>
      </c>
      <c r="B20" s="5">
        <f>'Compiled ALL DATA'!S21</f>
        <v>163.17599999999999</v>
      </c>
      <c r="C20" s="3">
        <v>163.19</v>
      </c>
      <c r="D20" s="3">
        <v>48419</v>
      </c>
      <c r="E20" s="3">
        <f t="shared" si="0"/>
        <v>3.0557711847826772E-2</v>
      </c>
      <c r="F20" s="12">
        <f t="shared" si="1"/>
        <v>4.9867129964468511</v>
      </c>
      <c r="G20" s="3">
        <f t="shared" si="2"/>
        <v>4.4749574352837607E-2</v>
      </c>
      <c r="H20" s="45">
        <f t="shared" si="3"/>
        <v>0.13985098915342351</v>
      </c>
      <c r="I20" s="3"/>
      <c r="J20" s="3"/>
      <c r="K20" s="3"/>
      <c r="L20" s="3"/>
      <c r="M20" s="3"/>
      <c r="N20" s="3"/>
      <c r="O20" s="3"/>
    </row>
    <row r="21" spans="1:15" ht="15.75" thickBot="1" x14ac:dyDescent="0.3">
      <c r="A21" s="3" t="s">
        <v>49</v>
      </c>
      <c r="B21" s="5">
        <f>'Compiled ALL DATA'!S22</f>
        <v>99.13300000000001</v>
      </c>
      <c r="C21" s="3">
        <v>99.15</v>
      </c>
      <c r="D21" s="3">
        <v>110319</v>
      </c>
      <c r="E21" s="3">
        <f t="shared" si="0"/>
        <v>6.9623416702955493E-2</v>
      </c>
      <c r="F21" s="12">
        <f t="shared" si="1"/>
        <v>6.9031617660980373</v>
      </c>
      <c r="G21" s="3">
        <f t="shared" si="2"/>
        <v>6.1947329020494657E-2</v>
      </c>
      <c r="H21" s="46">
        <f t="shared" si="3"/>
        <v>0.31863981644429928</v>
      </c>
      <c r="I21" s="3"/>
      <c r="J21" s="3"/>
      <c r="K21" s="3"/>
      <c r="L21" s="3"/>
      <c r="M21" s="3"/>
      <c r="N21" s="3"/>
      <c r="O21" s="3"/>
    </row>
    <row r="22" spans="1:15" x14ac:dyDescent="0.25">
      <c r="A22" s="3"/>
      <c r="B22" s="3"/>
      <c r="C22" s="13" t="s">
        <v>125</v>
      </c>
      <c r="D22" s="3">
        <f>SUM(D2:D21)</f>
        <v>1584510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x14ac:dyDescent="0.25">
      <c r="A23" s="3"/>
      <c r="B23" s="3"/>
      <c r="C23" s="3"/>
      <c r="D23" s="2" t="s">
        <v>92</v>
      </c>
      <c r="E23" s="14">
        <f>SUM(B2*E2,B3*E3,B4*E4,B5*E5,B6*E6,B7*E7,B8*E8,B9*E9,B10*E10,B11*E11,B12*E12,B13*E13,B14*E14,B15*E15,B16*E16,B17*E17,B18*E18,B19*E19,B20*E20,B21*E21)</f>
        <v>111.43598723706384</v>
      </c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9F886-373E-44C1-AD34-BC04A1B086BE}">
  <dimension ref="A1:P55"/>
  <sheetViews>
    <sheetView zoomScale="85" workbookViewId="0">
      <selection activeCell="T45" sqref="T45"/>
    </sheetView>
  </sheetViews>
  <sheetFormatPr defaultRowHeight="15" x14ac:dyDescent="0.25"/>
  <cols>
    <col min="4" max="4" width="10.85546875" bestFit="1" customWidth="1"/>
    <col min="5" max="5" width="19.140625" bestFit="1" customWidth="1"/>
    <col min="8" max="8" width="13.85546875" bestFit="1" customWidth="1"/>
  </cols>
  <sheetData>
    <row r="1" spans="1:16" x14ac:dyDescent="0.25">
      <c r="A1" s="2" t="s">
        <v>394</v>
      </c>
      <c r="B1" s="3"/>
      <c r="C1" s="3"/>
      <c r="D1" s="2" t="s">
        <v>352</v>
      </c>
      <c r="E1" s="2" t="s">
        <v>354</v>
      </c>
      <c r="F1" s="2" t="s">
        <v>407</v>
      </c>
      <c r="G1" s="4" t="s">
        <v>466</v>
      </c>
      <c r="H1" s="2" t="s">
        <v>467</v>
      </c>
      <c r="I1" s="2" t="s">
        <v>423</v>
      </c>
      <c r="J1" s="3"/>
      <c r="K1" s="1" t="s">
        <v>425</v>
      </c>
      <c r="P1" s="3"/>
    </row>
    <row r="2" spans="1:16" x14ac:dyDescent="0.25">
      <c r="A2" s="49" t="s">
        <v>6</v>
      </c>
      <c r="B2" s="49"/>
      <c r="C2" s="49"/>
      <c r="D2" s="49" t="s">
        <v>353</v>
      </c>
      <c r="E2" s="49" t="s">
        <v>271</v>
      </c>
      <c r="F2" s="49">
        <v>471</v>
      </c>
      <c r="G2" s="5">
        <v>2.8781119585551901E-3</v>
      </c>
      <c r="H2" s="5">
        <v>2.2333333333333339E-4</v>
      </c>
      <c r="I2" s="3" t="s">
        <v>424</v>
      </c>
      <c r="J2" s="3"/>
      <c r="K2" t="s">
        <v>426</v>
      </c>
    </row>
    <row r="3" spans="1:16" x14ac:dyDescent="0.25">
      <c r="A3" s="49" t="s">
        <v>7</v>
      </c>
      <c r="B3" s="49"/>
      <c r="C3" s="49"/>
      <c r="D3" s="49" t="s">
        <v>355</v>
      </c>
      <c r="E3" s="49" t="s">
        <v>356</v>
      </c>
      <c r="F3" s="49">
        <v>702</v>
      </c>
      <c r="G3" s="5">
        <v>2.8781119585551901E-3</v>
      </c>
      <c r="H3" s="5"/>
      <c r="I3" s="3"/>
      <c r="J3" s="3"/>
    </row>
    <row r="4" spans="1:16" x14ac:dyDescent="0.25">
      <c r="A4" s="49" t="s">
        <v>8</v>
      </c>
      <c r="B4" s="49"/>
      <c r="C4" s="49"/>
      <c r="D4" s="49" t="s">
        <v>357</v>
      </c>
      <c r="E4" s="49" t="s">
        <v>358</v>
      </c>
      <c r="F4" s="49">
        <v>457</v>
      </c>
      <c r="G4" s="5">
        <v>2.8781119585551901E-3</v>
      </c>
      <c r="H4" s="5">
        <v>2.2333333333333339E-4</v>
      </c>
      <c r="I4" s="3" t="s">
        <v>424</v>
      </c>
      <c r="K4" t="s">
        <v>426</v>
      </c>
    </row>
    <row r="5" spans="1:16" x14ac:dyDescent="0.25">
      <c r="A5" s="49" t="s">
        <v>9</v>
      </c>
      <c r="B5" s="49"/>
      <c r="C5" s="49"/>
      <c r="D5" s="49" t="s">
        <v>409</v>
      </c>
      <c r="E5" s="49" t="s">
        <v>410</v>
      </c>
      <c r="F5" s="49">
        <v>357</v>
      </c>
      <c r="G5" s="5">
        <v>2.8781119585551901E-3</v>
      </c>
      <c r="H5" s="5"/>
      <c r="I5" s="3"/>
    </row>
    <row r="6" spans="1:16" x14ac:dyDescent="0.25">
      <c r="A6" s="50" t="s">
        <v>14</v>
      </c>
      <c r="B6" s="50"/>
      <c r="C6" s="50"/>
      <c r="D6" s="50" t="s">
        <v>359</v>
      </c>
      <c r="E6" s="50" t="s">
        <v>360</v>
      </c>
      <c r="F6" s="50">
        <v>40</v>
      </c>
      <c r="G6" s="5">
        <v>2.8781119585551901E-3</v>
      </c>
      <c r="H6" s="5">
        <v>4.5440030462996417E-3</v>
      </c>
      <c r="I6" s="3" t="s">
        <v>424</v>
      </c>
      <c r="J6" s="3"/>
      <c r="K6" s="3" t="s">
        <v>426</v>
      </c>
      <c r="L6" s="3"/>
      <c r="N6" s="49"/>
      <c r="O6" s="3" t="s">
        <v>413</v>
      </c>
    </row>
    <row r="7" spans="1:16" x14ac:dyDescent="0.25">
      <c r="A7" s="49" t="s">
        <v>15</v>
      </c>
      <c r="B7" s="49"/>
      <c r="C7" s="49"/>
      <c r="D7" s="49" t="s">
        <v>361</v>
      </c>
      <c r="E7" s="49" t="s">
        <v>267</v>
      </c>
      <c r="F7" s="49">
        <v>1579</v>
      </c>
      <c r="G7" s="5">
        <v>2.8781119585551901E-3</v>
      </c>
      <c r="H7" s="5">
        <v>2.2333333333333339E-4</v>
      </c>
      <c r="I7" s="3" t="s">
        <v>424</v>
      </c>
      <c r="J7" s="3"/>
      <c r="K7" s="3" t="s">
        <v>426</v>
      </c>
      <c r="L7" s="3"/>
      <c r="N7" s="50"/>
      <c r="O7" s="3" t="s">
        <v>276</v>
      </c>
    </row>
    <row r="8" spans="1:16" x14ac:dyDescent="0.25">
      <c r="A8" s="50" t="s">
        <v>17</v>
      </c>
      <c r="B8" s="50"/>
      <c r="C8" s="50"/>
      <c r="D8" s="50" t="s">
        <v>362</v>
      </c>
      <c r="E8" s="50" t="s">
        <v>360</v>
      </c>
      <c r="F8" s="50">
        <v>35</v>
      </c>
      <c r="G8" s="5">
        <v>2.8781119585551901E-3</v>
      </c>
      <c r="H8" s="5"/>
      <c r="I8" s="3"/>
      <c r="J8" s="3"/>
      <c r="L8" s="3"/>
    </row>
    <row r="9" spans="1:16" x14ac:dyDescent="0.25">
      <c r="A9" s="50" t="s">
        <v>18</v>
      </c>
      <c r="B9" s="50"/>
      <c r="C9" s="50"/>
      <c r="D9" s="50" t="s">
        <v>363</v>
      </c>
      <c r="E9" s="50" t="s">
        <v>360</v>
      </c>
      <c r="F9" s="50">
        <v>59</v>
      </c>
      <c r="G9" s="5">
        <v>2.8781119585551901E-3</v>
      </c>
      <c r="H9" s="5">
        <v>3.0293353641997599E-3</v>
      </c>
      <c r="I9" s="3" t="s">
        <v>424</v>
      </c>
      <c r="J9" s="3"/>
      <c r="K9" s="3" t="s">
        <v>426</v>
      </c>
      <c r="L9" s="3"/>
    </row>
    <row r="10" spans="1:16" x14ac:dyDescent="0.25">
      <c r="A10" s="49" t="s">
        <v>19</v>
      </c>
      <c r="B10" s="49"/>
      <c r="C10" s="49"/>
      <c r="D10" s="49" t="s">
        <v>364</v>
      </c>
      <c r="E10" s="49" t="s">
        <v>247</v>
      </c>
      <c r="F10" s="49">
        <v>764</v>
      </c>
      <c r="G10" s="5">
        <v>2.8781119585551901E-3</v>
      </c>
      <c r="H10" s="5">
        <v>1.6750000000000003E-4</v>
      </c>
      <c r="I10" s="3" t="s">
        <v>424</v>
      </c>
      <c r="J10" s="3"/>
      <c r="K10" s="3" t="s">
        <v>426</v>
      </c>
      <c r="L10" s="3"/>
    </row>
    <row r="11" spans="1:16" x14ac:dyDescent="0.25">
      <c r="A11" s="50" t="s">
        <v>20</v>
      </c>
      <c r="B11" s="50"/>
      <c r="C11" s="50"/>
      <c r="D11" s="50" t="s">
        <v>365</v>
      </c>
      <c r="E11" s="50" t="s">
        <v>360</v>
      </c>
      <c r="F11" s="50">
        <v>63</v>
      </c>
      <c r="G11" s="5">
        <v>2.8781119585551901E-3</v>
      </c>
      <c r="H11" s="5">
        <v>3.0293353641997608E-3</v>
      </c>
      <c r="I11" s="3" t="s">
        <v>424</v>
      </c>
      <c r="J11" s="3"/>
      <c r="K11" s="3" t="s">
        <v>426</v>
      </c>
      <c r="L11" s="3"/>
    </row>
    <row r="12" spans="1:16" x14ac:dyDescent="0.25">
      <c r="A12" s="49" t="s">
        <v>22</v>
      </c>
      <c r="B12" s="49"/>
      <c r="C12" s="49"/>
      <c r="D12" s="49" t="s">
        <v>366</v>
      </c>
      <c r="E12" s="49" t="s">
        <v>253</v>
      </c>
      <c r="F12" s="49">
        <v>783</v>
      </c>
      <c r="G12" s="5">
        <v>2.8781119585551901E-3</v>
      </c>
      <c r="H12" s="5">
        <v>2.2333333333333339E-4</v>
      </c>
      <c r="I12" s="3" t="s">
        <v>424</v>
      </c>
      <c r="J12" s="3"/>
      <c r="K12" s="3" t="s">
        <v>426</v>
      </c>
      <c r="L12" s="3"/>
    </row>
    <row r="13" spans="1:16" x14ac:dyDescent="0.25">
      <c r="A13" s="50" t="s">
        <v>24</v>
      </c>
      <c r="B13" s="50"/>
      <c r="C13" s="50"/>
      <c r="D13" s="50" t="s">
        <v>367</v>
      </c>
      <c r="E13" s="50" t="s">
        <v>360</v>
      </c>
      <c r="F13" s="50">
        <v>56</v>
      </c>
      <c r="G13" s="5">
        <v>2.8781119585551901E-3</v>
      </c>
      <c r="H13" s="5">
        <v>6.8160045694494612E-3</v>
      </c>
      <c r="I13" s="3" t="s">
        <v>424</v>
      </c>
      <c r="J13" s="3"/>
      <c r="K13" s="3" t="s">
        <v>426</v>
      </c>
      <c r="L13" s="3"/>
    </row>
    <row r="14" spans="1:16" x14ac:dyDescent="0.25">
      <c r="A14" s="50" t="s">
        <v>78</v>
      </c>
      <c r="B14" s="50"/>
      <c r="C14" s="50"/>
      <c r="D14" s="50" t="s">
        <v>368</v>
      </c>
      <c r="E14" s="50" t="s">
        <v>360</v>
      </c>
      <c r="F14" s="50">
        <v>56</v>
      </c>
      <c r="G14" s="5">
        <v>2.8781119585551901E-3</v>
      </c>
      <c r="H14" s="5">
        <v>6.8160045694494612E-3</v>
      </c>
      <c r="I14" s="3" t="s">
        <v>424</v>
      </c>
      <c r="J14" s="3"/>
      <c r="K14" s="3" t="s">
        <v>426</v>
      </c>
      <c r="L14" s="3"/>
    </row>
    <row r="15" spans="1:16" x14ac:dyDescent="0.25">
      <c r="A15" s="49" t="s">
        <v>23</v>
      </c>
      <c r="B15" s="49"/>
      <c r="C15" s="49"/>
      <c r="D15" s="49" t="s">
        <v>369</v>
      </c>
      <c r="E15" s="49" t="s">
        <v>370</v>
      </c>
      <c r="F15" s="49">
        <v>455</v>
      </c>
      <c r="G15" s="5">
        <v>2.8781119585551901E-3</v>
      </c>
      <c r="H15" s="5"/>
      <c r="I15" s="3"/>
      <c r="J15" s="3"/>
      <c r="L15" s="3"/>
    </row>
    <row r="16" spans="1:16" x14ac:dyDescent="0.25">
      <c r="A16" s="49" t="s">
        <v>25</v>
      </c>
      <c r="B16" s="49"/>
      <c r="C16" s="49"/>
      <c r="D16" s="49" t="s">
        <v>371</v>
      </c>
      <c r="E16" s="49" t="s">
        <v>265</v>
      </c>
      <c r="F16" s="49">
        <v>306</v>
      </c>
      <c r="G16" s="5">
        <v>2.8781119585551901E-3</v>
      </c>
      <c r="H16" s="5">
        <v>2.2333333333333339E-4</v>
      </c>
      <c r="I16" s="3" t="s">
        <v>424</v>
      </c>
      <c r="J16" s="3"/>
      <c r="K16" s="3" t="s">
        <v>426</v>
      </c>
      <c r="L16" s="3"/>
    </row>
    <row r="17" spans="1:12" x14ac:dyDescent="0.25">
      <c r="A17" s="49" t="s">
        <v>29</v>
      </c>
      <c r="B17" s="49"/>
      <c r="C17" s="49"/>
      <c r="D17" s="49" t="s">
        <v>372</v>
      </c>
      <c r="E17" s="49" t="s">
        <v>373</v>
      </c>
      <c r="F17" s="49">
        <v>614</v>
      </c>
      <c r="G17" s="5">
        <v>2.8781119585551901E-3</v>
      </c>
      <c r="H17" s="5">
        <v>2.2333333333333339E-4</v>
      </c>
      <c r="I17" s="3" t="s">
        <v>424</v>
      </c>
      <c r="J17" s="3"/>
      <c r="K17" s="3" t="s">
        <v>426</v>
      </c>
      <c r="L17" s="3"/>
    </row>
    <row r="18" spans="1:12" x14ac:dyDescent="0.25">
      <c r="A18" s="50" t="s">
        <v>30</v>
      </c>
      <c r="B18" s="50"/>
      <c r="C18" s="50"/>
      <c r="D18" s="50" t="s">
        <v>374</v>
      </c>
      <c r="E18" s="50" t="s">
        <v>360</v>
      </c>
      <c r="F18" s="50">
        <v>39</v>
      </c>
      <c r="G18" s="5">
        <v>2.8781119585551901E-3</v>
      </c>
      <c r="H18" s="5">
        <v>0.17040011423623658</v>
      </c>
      <c r="I18" s="3" t="s">
        <v>424</v>
      </c>
      <c r="J18" s="3"/>
      <c r="K18" s="3" t="s">
        <v>426</v>
      </c>
      <c r="L18" s="3"/>
    </row>
    <row r="19" spans="1:12" x14ac:dyDescent="0.25">
      <c r="A19" s="49" t="s">
        <v>50</v>
      </c>
      <c r="B19" s="49"/>
      <c r="C19" s="49"/>
      <c r="D19" s="49" t="s">
        <v>375</v>
      </c>
      <c r="E19" s="49" t="s">
        <v>376</v>
      </c>
      <c r="F19" s="49">
        <v>716</v>
      </c>
      <c r="G19" s="5">
        <v>2.8781119585551901E-3</v>
      </c>
      <c r="H19" s="5"/>
      <c r="I19" s="3"/>
      <c r="J19" s="3"/>
      <c r="L19" s="3"/>
    </row>
    <row r="20" spans="1:12" x14ac:dyDescent="0.25">
      <c r="A20" s="50" t="s">
        <v>51</v>
      </c>
      <c r="B20" s="50"/>
      <c r="C20" s="50"/>
      <c r="D20" s="50" t="s">
        <v>377</v>
      </c>
      <c r="E20" s="50" t="s">
        <v>360</v>
      </c>
      <c r="F20" s="50">
        <v>24</v>
      </c>
      <c r="G20" s="5">
        <v>2.8781119585551901E-3</v>
      </c>
      <c r="H20" s="5">
        <v>7.5733384104994007E-3</v>
      </c>
      <c r="I20" s="3" t="s">
        <v>424</v>
      </c>
      <c r="J20" s="3"/>
      <c r="K20" s="3" t="s">
        <v>426</v>
      </c>
      <c r="L20" s="3"/>
    </row>
    <row r="21" spans="1:12" x14ac:dyDescent="0.25">
      <c r="A21" s="50" t="s">
        <v>52</v>
      </c>
      <c r="B21" s="50"/>
      <c r="C21" s="50"/>
      <c r="D21" s="50" t="s">
        <v>378</v>
      </c>
      <c r="E21" s="50" t="s">
        <v>360</v>
      </c>
      <c r="F21" s="50">
        <v>55</v>
      </c>
      <c r="G21" s="5">
        <v>2.8781119585551901E-3</v>
      </c>
      <c r="H21" s="5">
        <v>3.0293353641997604E-3</v>
      </c>
      <c r="I21" s="3" t="s">
        <v>424</v>
      </c>
      <c r="J21" s="3"/>
      <c r="K21" s="3" t="s">
        <v>426</v>
      </c>
      <c r="L21" s="3"/>
    </row>
    <row r="22" spans="1:12" x14ac:dyDescent="0.25">
      <c r="A22" s="49" t="s">
        <v>53</v>
      </c>
      <c r="B22" s="49"/>
      <c r="C22" s="49"/>
      <c r="D22" s="49" t="s">
        <v>379</v>
      </c>
      <c r="E22" s="49" t="s">
        <v>380</v>
      </c>
      <c r="F22" s="49">
        <v>662</v>
      </c>
      <c r="G22" s="5">
        <v>2.8781119585551901E-3</v>
      </c>
      <c r="H22" s="5">
        <v>1.7866666666666671E-3</v>
      </c>
      <c r="I22" s="3" t="s">
        <v>424</v>
      </c>
      <c r="J22" s="3"/>
      <c r="K22" s="3" t="s">
        <v>426</v>
      </c>
      <c r="L22" s="3"/>
    </row>
    <row r="23" spans="1:12" x14ac:dyDescent="0.25">
      <c r="A23" s="49" t="s">
        <v>54</v>
      </c>
      <c r="B23" s="49"/>
      <c r="C23" s="49"/>
      <c r="D23" s="49" t="s">
        <v>381</v>
      </c>
      <c r="E23" s="49" t="s">
        <v>251</v>
      </c>
      <c r="F23" s="49">
        <v>741</v>
      </c>
      <c r="G23" s="5">
        <v>2.8781119585551901E-3</v>
      </c>
      <c r="H23" s="5">
        <v>1.1166666666666669E-4</v>
      </c>
      <c r="I23" s="3" t="s">
        <v>424</v>
      </c>
      <c r="J23" s="3"/>
      <c r="K23" s="3" t="s">
        <v>426</v>
      </c>
      <c r="L23" s="3"/>
    </row>
    <row r="24" spans="1:12" x14ac:dyDescent="0.25">
      <c r="A24" s="49" t="s">
        <v>58</v>
      </c>
      <c r="B24" s="49"/>
      <c r="C24" s="49"/>
      <c r="D24" s="49" t="s">
        <v>382</v>
      </c>
      <c r="E24" s="49" t="s">
        <v>242</v>
      </c>
      <c r="F24" s="49">
        <v>90</v>
      </c>
      <c r="G24" s="5">
        <v>2.8781119585551901E-3</v>
      </c>
      <c r="H24" s="5">
        <v>3.3270489076189416E-2</v>
      </c>
      <c r="I24" s="3" t="s">
        <v>424</v>
      </c>
      <c r="J24" s="3"/>
      <c r="K24" s="3" t="s">
        <v>426</v>
      </c>
      <c r="L24" s="3"/>
    </row>
    <row r="25" spans="1:12" x14ac:dyDescent="0.25">
      <c r="A25" s="49" t="s">
        <v>59</v>
      </c>
      <c r="B25" s="49"/>
      <c r="C25" s="49"/>
      <c r="D25" s="49" t="s">
        <v>383</v>
      </c>
      <c r="E25" s="49" t="s">
        <v>261</v>
      </c>
      <c r="F25" s="49">
        <v>246</v>
      </c>
      <c r="G25" s="5">
        <v>2.8781119585551901E-3</v>
      </c>
      <c r="H25" s="5">
        <v>2.2333333333333339E-4</v>
      </c>
      <c r="I25" s="3" t="s">
        <v>424</v>
      </c>
      <c r="J25" s="3"/>
      <c r="K25" s="3" t="s">
        <v>426</v>
      </c>
      <c r="L25" s="3"/>
    </row>
    <row r="26" spans="1:12" x14ac:dyDescent="0.25">
      <c r="A26" s="49" t="s">
        <v>61</v>
      </c>
      <c r="B26" s="49"/>
      <c r="C26" s="49"/>
      <c r="D26" s="49" t="s">
        <v>384</v>
      </c>
      <c r="E26" s="49" t="s">
        <v>385</v>
      </c>
      <c r="F26" s="49">
        <v>376</v>
      </c>
      <c r="G26" s="5">
        <v>2.8781119585551901E-3</v>
      </c>
      <c r="H26" s="5">
        <v>2.2333333333333339E-4</v>
      </c>
      <c r="I26" s="3" t="s">
        <v>424</v>
      </c>
      <c r="J26" s="3"/>
      <c r="K26" s="3" t="s">
        <v>426</v>
      </c>
      <c r="L26" s="3"/>
    </row>
    <row r="27" spans="1:12" x14ac:dyDescent="0.25">
      <c r="A27" s="49" t="s">
        <v>62</v>
      </c>
      <c r="B27" s="49"/>
      <c r="C27" s="49"/>
      <c r="D27" s="49" t="s">
        <v>386</v>
      </c>
      <c r="E27" s="49" t="s">
        <v>273</v>
      </c>
      <c r="F27" s="49">
        <v>399</v>
      </c>
      <c r="G27" s="5">
        <v>2.8781119585551901E-3</v>
      </c>
      <c r="H27" s="5">
        <v>2.2333333333333339E-4</v>
      </c>
      <c r="I27" s="3" t="s">
        <v>424</v>
      </c>
      <c r="J27" s="3"/>
      <c r="K27" s="3" t="s">
        <v>426</v>
      </c>
      <c r="L27" s="3"/>
    </row>
    <row r="28" spans="1:12" x14ac:dyDescent="0.25">
      <c r="A28" s="49" t="s">
        <v>63</v>
      </c>
      <c r="B28" s="49"/>
      <c r="C28" s="49"/>
      <c r="D28" s="49" t="s">
        <v>387</v>
      </c>
      <c r="E28" s="49" t="s">
        <v>388</v>
      </c>
      <c r="F28" s="49">
        <v>908</v>
      </c>
      <c r="G28" s="5">
        <v>2.8781119585551901E-3</v>
      </c>
      <c r="H28" s="5"/>
      <c r="I28" s="3"/>
      <c r="J28" s="3"/>
      <c r="L28" s="3"/>
    </row>
    <row r="29" spans="1:12" x14ac:dyDescent="0.25">
      <c r="A29" s="49" t="s">
        <v>64</v>
      </c>
      <c r="B29" s="49"/>
      <c r="C29" s="49"/>
      <c r="D29" s="49" t="s">
        <v>389</v>
      </c>
      <c r="E29" s="49" t="s">
        <v>244</v>
      </c>
      <c r="F29" s="49">
        <v>148</v>
      </c>
      <c r="G29" s="5">
        <v>2.8781119585551901E-3</v>
      </c>
      <c r="H29" s="5">
        <v>6.744270742004667E-3</v>
      </c>
      <c r="I29" s="3" t="s">
        <v>424</v>
      </c>
      <c r="J29" s="3"/>
      <c r="K29" s="3" t="s">
        <v>426</v>
      </c>
      <c r="L29" s="3"/>
    </row>
    <row r="30" spans="1:12" x14ac:dyDescent="0.25">
      <c r="A30" s="50" t="s">
        <v>66</v>
      </c>
      <c r="B30" s="50"/>
      <c r="C30" s="50"/>
      <c r="D30" s="50" t="s">
        <v>390</v>
      </c>
      <c r="E30" s="50" t="s">
        <v>296</v>
      </c>
      <c r="F30" s="50">
        <v>96</v>
      </c>
      <c r="G30" s="5">
        <v>2.8781119585551901E-3</v>
      </c>
      <c r="H30" s="5">
        <v>3.7866692052497008E-3</v>
      </c>
      <c r="I30" s="3" t="s">
        <v>424</v>
      </c>
      <c r="J30" s="3"/>
      <c r="K30" s="3" t="s">
        <v>426</v>
      </c>
      <c r="L30" s="3"/>
    </row>
    <row r="31" spans="1:12" x14ac:dyDescent="0.25">
      <c r="A31" s="49" t="s">
        <v>69</v>
      </c>
      <c r="B31" s="49"/>
      <c r="C31" s="49"/>
      <c r="D31" s="49" t="s">
        <v>391</v>
      </c>
      <c r="E31" s="49" t="s">
        <v>255</v>
      </c>
      <c r="F31" s="49">
        <v>443</v>
      </c>
      <c r="G31" s="5">
        <v>2.8781119585551901E-3</v>
      </c>
      <c r="H31" s="5">
        <v>2.2333333333333339E-4</v>
      </c>
      <c r="I31" s="3" t="s">
        <v>424</v>
      </c>
      <c r="J31" s="3"/>
      <c r="K31" s="3" t="s">
        <v>426</v>
      </c>
      <c r="L31" s="3"/>
    </row>
    <row r="32" spans="1:12" x14ac:dyDescent="0.25">
      <c r="A32" s="49" t="s">
        <v>67</v>
      </c>
      <c r="B32" s="49"/>
      <c r="C32" s="49"/>
      <c r="D32" s="49" t="s">
        <v>392</v>
      </c>
      <c r="E32" s="49" t="s">
        <v>393</v>
      </c>
      <c r="F32" s="49">
        <v>423</v>
      </c>
      <c r="G32" s="5">
        <v>2.8781119585551901E-3</v>
      </c>
      <c r="H32" s="5">
        <v>2.2333333333333339E-4</v>
      </c>
      <c r="I32" s="3" t="s">
        <v>424</v>
      </c>
      <c r="J32" s="3"/>
      <c r="K32" s="3" t="s">
        <v>426</v>
      </c>
      <c r="L32" s="3"/>
    </row>
    <row r="33" spans="1:15" x14ac:dyDescent="0.25">
      <c r="A33" s="49" t="s">
        <v>72</v>
      </c>
      <c r="B33" s="49"/>
      <c r="C33" s="49"/>
      <c r="D33" s="49" t="s">
        <v>395</v>
      </c>
      <c r="E33" s="49" t="s">
        <v>396</v>
      </c>
      <c r="F33" s="49">
        <v>726</v>
      </c>
      <c r="G33" s="5">
        <v>2.8781119585551901E-3</v>
      </c>
      <c r="H33" s="5"/>
      <c r="I33" s="3"/>
      <c r="J33" s="3"/>
      <c r="L33" s="3"/>
    </row>
    <row r="34" spans="1:15" x14ac:dyDescent="0.25">
      <c r="A34" s="49" t="s">
        <v>70</v>
      </c>
      <c r="B34" s="49"/>
      <c r="C34" s="49"/>
      <c r="D34" s="49" t="s">
        <v>397</v>
      </c>
      <c r="E34" s="49" t="s">
        <v>398</v>
      </c>
      <c r="F34" s="49">
        <v>605</v>
      </c>
      <c r="G34" s="5">
        <v>2.8781119585551901E-3</v>
      </c>
      <c r="H34" s="5"/>
      <c r="I34" s="3"/>
      <c r="J34" s="3"/>
      <c r="L34" s="3"/>
    </row>
    <row r="35" spans="1:15" x14ac:dyDescent="0.25">
      <c r="A35" s="50" t="s">
        <v>73</v>
      </c>
      <c r="B35" s="50"/>
      <c r="C35" s="50"/>
      <c r="D35" s="50" t="s">
        <v>399</v>
      </c>
      <c r="E35" s="50" t="s">
        <v>360</v>
      </c>
      <c r="F35" s="50">
        <v>65</v>
      </c>
      <c r="G35" s="5">
        <v>2.8781119585551901E-3</v>
      </c>
      <c r="H35" s="5">
        <v>3.0293353641997608E-3</v>
      </c>
      <c r="I35" s="3" t="s">
        <v>424</v>
      </c>
      <c r="J35" s="3"/>
      <c r="K35" s="3" t="s">
        <v>426</v>
      </c>
      <c r="L35" s="3"/>
    </row>
    <row r="36" spans="1:15" x14ac:dyDescent="0.25">
      <c r="A36" s="49" t="s">
        <v>11</v>
      </c>
      <c r="B36" s="60"/>
      <c r="C36" s="49"/>
      <c r="D36" s="49" t="s">
        <v>415</v>
      </c>
      <c r="E36" s="49" t="s">
        <v>416</v>
      </c>
      <c r="F36" s="49">
        <v>243</v>
      </c>
      <c r="G36" s="5">
        <v>2.8781119585551901E-3</v>
      </c>
      <c r="H36" s="5"/>
      <c r="I36" s="3"/>
      <c r="J36" s="3"/>
      <c r="L36" s="3"/>
    </row>
    <row r="37" spans="1:15" x14ac:dyDescent="0.25">
      <c r="A37" s="49" t="s">
        <v>417</v>
      </c>
      <c r="B37" s="49"/>
      <c r="C37" s="49"/>
      <c r="D37" s="49" t="s">
        <v>418</v>
      </c>
      <c r="E37" s="49" t="s">
        <v>419</v>
      </c>
      <c r="F37" s="49">
        <v>990</v>
      </c>
      <c r="G37" s="5">
        <v>2.8781119585551901E-3</v>
      </c>
      <c r="H37" s="5"/>
      <c r="I37" s="3"/>
      <c r="J37" s="3"/>
      <c r="L37" s="3"/>
    </row>
    <row r="38" spans="1:15" x14ac:dyDescent="0.25">
      <c r="A38" s="49" t="s">
        <v>422</v>
      </c>
      <c r="B38" s="49"/>
      <c r="C38" s="49"/>
      <c r="D38" s="49" t="s">
        <v>420</v>
      </c>
      <c r="E38" s="49" t="s">
        <v>421</v>
      </c>
      <c r="F38" s="49">
        <v>146</v>
      </c>
      <c r="G38" s="5">
        <v>2.8781119585551901E-3</v>
      </c>
      <c r="H38" s="5"/>
      <c r="I38" s="3"/>
      <c r="J38" s="3"/>
      <c r="L38" s="3"/>
    </row>
    <row r="39" spans="1:15" x14ac:dyDescent="0.25">
      <c r="A39" s="54" t="s">
        <v>12</v>
      </c>
      <c r="B39" s="59"/>
      <c r="C39" s="59"/>
      <c r="D39" s="59" t="s">
        <v>114</v>
      </c>
      <c r="E39" s="59" t="s">
        <v>405</v>
      </c>
      <c r="F39" s="59">
        <v>924</v>
      </c>
      <c r="G39" s="5">
        <v>2.8781119585551901E-3</v>
      </c>
      <c r="H39">
        <v>5.535259603675412E-5</v>
      </c>
      <c r="I39" s="3" t="s">
        <v>424</v>
      </c>
      <c r="K39" t="s">
        <v>426</v>
      </c>
      <c r="L39" s="3"/>
    </row>
    <row r="40" spans="1:15" x14ac:dyDescent="0.25">
      <c r="G40" s="27"/>
      <c r="I40" s="3"/>
    </row>
    <row r="41" spans="1:15" x14ac:dyDescent="0.25">
      <c r="A41" s="27"/>
      <c r="B41" s="27"/>
      <c r="C41" s="27"/>
      <c r="D41" s="27"/>
      <c r="E41" s="27"/>
      <c r="F41" s="27"/>
      <c r="G41" s="27"/>
      <c r="H41" s="27"/>
      <c r="I41" s="3"/>
    </row>
    <row r="42" spans="1:15" x14ac:dyDescent="0.25">
      <c r="A42" s="236"/>
      <c r="B42" s="236"/>
      <c r="C42" s="236"/>
      <c r="D42" s="236"/>
      <c r="E42" s="236"/>
      <c r="F42" s="236"/>
      <c r="G42" s="236"/>
      <c r="H42" s="241"/>
      <c r="I42" s="240"/>
      <c r="J42" s="235"/>
      <c r="K42" s="235"/>
      <c r="L42" s="235"/>
      <c r="M42" s="235"/>
      <c r="N42" s="235"/>
      <c r="O42" s="235"/>
    </row>
    <row r="43" spans="1:15" x14ac:dyDescent="0.25">
      <c r="A43" s="236"/>
      <c r="B43" s="236"/>
      <c r="C43" s="236"/>
      <c r="D43" s="236"/>
      <c r="E43" s="236"/>
      <c r="F43" s="236"/>
      <c r="G43" s="236"/>
      <c r="H43" s="241"/>
      <c r="I43" s="240"/>
      <c r="J43" s="235"/>
      <c r="K43" s="235"/>
      <c r="L43" s="235"/>
      <c r="M43" s="235"/>
      <c r="N43" s="235"/>
      <c r="O43" s="235"/>
    </row>
    <row r="44" spans="1:15" x14ac:dyDescent="0.25">
      <c r="A44" s="236"/>
      <c r="B44" s="236"/>
      <c r="C44" s="236"/>
      <c r="D44" s="236"/>
      <c r="E44" s="236"/>
      <c r="F44" s="236"/>
      <c r="G44" s="236"/>
      <c r="H44" s="241"/>
      <c r="I44" s="240"/>
      <c r="J44" s="235"/>
      <c r="K44" s="235"/>
      <c r="L44" s="235"/>
      <c r="M44" s="235"/>
      <c r="N44" s="235"/>
      <c r="O44" s="235"/>
    </row>
    <row r="45" spans="1:15" x14ac:dyDescent="0.25">
      <c r="A45" s="236"/>
      <c r="B45" s="236"/>
      <c r="C45" s="236"/>
      <c r="D45" s="236"/>
      <c r="E45" s="236"/>
      <c r="F45" s="236"/>
      <c r="G45" s="236"/>
      <c r="H45" s="241"/>
      <c r="I45" s="240"/>
      <c r="J45" s="235"/>
      <c r="K45" s="235"/>
      <c r="L45" s="235"/>
      <c r="M45" s="235"/>
      <c r="N45" s="235"/>
      <c r="O45" s="235"/>
    </row>
    <row r="46" spans="1:15" x14ac:dyDescent="0.25">
      <c r="A46" s="236"/>
      <c r="B46" s="236"/>
      <c r="C46" s="236"/>
      <c r="D46" s="236"/>
      <c r="E46" s="236"/>
      <c r="F46" s="236"/>
      <c r="G46" s="236"/>
      <c r="H46" s="241"/>
      <c r="I46" s="240"/>
      <c r="J46" s="235"/>
      <c r="K46" s="235"/>
      <c r="L46" s="235"/>
      <c r="M46" s="235"/>
      <c r="N46" s="235"/>
      <c r="O46" s="235"/>
    </row>
    <row r="47" spans="1:15" x14ac:dyDescent="0.25">
      <c r="A47" s="249"/>
      <c r="B47" s="236"/>
      <c r="C47" s="236"/>
      <c r="D47" s="236"/>
      <c r="E47" s="236"/>
      <c r="F47" s="236"/>
      <c r="G47" s="236"/>
      <c r="H47" s="241"/>
      <c r="I47" s="240"/>
      <c r="J47" s="235"/>
      <c r="K47" s="235"/>
      <c r="L47" s="235"/>
      <c r="M47" s="235"/>
      <c r="N47" s="235"/>
      <c r="O47" s="235"/>
    </row>
    <row r="48" spans="1:15" x14ac:dyDescent="0.25">
      <c r="A48" s="236"/>
      <c r="B48" s="236"/>
      <c r="C48" s="236"/>
      <c r="D48" s="236"/>
      <c r="E48" s="236"/>
      <c r="F48" s="236"/>
      <c r="G48" s="236"/>
      <c r="H48" s="241"/>
      <c r="I48" s="240"/>
      <c r="J48" s="235"/>
      <c r="K48" s="235"/>
      <c r="L48" s="235"/>
      <c r="M48" s="235"/>
      <c r="N48" s="235"/>
      <c r="O48" s="235"/>
    </row>
    <row r="49" spans="1:15" x14ac:dyDescent="0.25">
      <c r="A49" s="236"/>
      <c r="B49" s="236"/>
      <c r="C49" s="236"/>
      <c r="D49" s="236"/>
      <c r="E49" s="236"/>
      <c r="F49" s="236"/>
      <c r="G49" s="236"/>
      <c r="H49" s="241"/>
      <c r="I49" s="240"/>
      <c r="J49" s="235"/>
      <c r="K49" s="235"/>
      <c r="L49" s="235"/>
      <c r="M49" s="235"/>
      <c r="N49" s="235"/>
      <c r="O49" s="235"/>
    </row>
    <row r="50" spans="1:15" x14ac:dyDescent="0.25">
      <c r="A50" s="236"/>
      <c r="B50" s="234"/>
      <c r="C50" s="236"/>
      <c r="D50" s="236"/>
      <c r="E50" s="236"/>
      <c r="F50" s="236"/>
      <c r="G50" s="236"/>
      <c r="H50" s="242"/>
      <c r="I50" s="240"/>
      <c r="J50" s="235"/>
      <c r="K50" s="235"/>
      <c r="L50" s="235"/>
      <c r="M50" s="235"/>
      <c r="N50" s="235"/>
      <c r="O50" s="235"/>
    </row>
    <row r="51" spans="1:15" x14ac:dyDescent="0.25">
      <c r="A51" s="236"/>
      <c r="B51" s="236"/>
      <c r="C51" s="236"/>
      <c r="D51" s="236"/>
      <c r="E51" s="236"/>
      <c r="F51" s="236"/>
      <c r="G51" s="236"/>
      <c r="H51" s="241"/>
      <c r="I51" s="240"/>
      <c r="J51" s="235"/>
      <c r="K51" s="235"/>
      <c r="L51" s="235"/>
      <c r="M51" s="235"/>
      <c r="N51" s="235"/>
      <c r="O51" s="235"/>
    </row>
    <row r="52" spans="1:15" x14ac:dyDescent="0.25">
      <c r="A52" s="236"/>
      <c r="B52" s="236"/>
      <c r="C52" s="236"/>
      <c r="D52" s="236"/>
      <c r="E52" s="236"/>
      <c r="F52" s="236"/>
      <c r="G52" s="236"/>
      <c r="H52" s="241"/>
      <c r="I52" s="240"/>
      <c r="J52" s="235"/>
      <c r="K52" s="235"/>
      <c r="L52" s="235"/>
      <c r="M52" s="235"/>
      <c r="N52" s="235"/>
      <c r="O52" s="235"/>
    </row>
    <row r="53" spans="1:15" x14ac:dyDescent="0.25">
      <c r="A53" s="27"/>
      <c r="B53" s="27"/>
      <c r="C53" s="27"/>
      <c r="D53" s="27"/>
      <c r="E53" s="27"/>
      <c r="F53" s="27"/>
      <c r="G53" s="27"/>
      <c r="H53" s="27"/>
    </row>
    <row r="54" spans="1:15" x14ac:dyDescent="0.25">
      <c r="A54" s="27"/>
      <c r="B54" s="27"/>
      <c r="C54" s="27"/>
      <c r="D54" s="27"/>
      <c r="E54" s="27"/>
      <c r="F54" s="27"/>
      <c r="G54" s="27"/>
      <c r="H54" s="27"/>
    </row>
    <row r="55" spans="1:15" x14ac:dyDescent="0.25">
      <c r="A55" s="27"/>
      <c r="B55" s="27"/>
      <c r="C55" s="27"/>
      <c r="D55" s="27"/>
      <c r="E55" s="27"/>
      <c r="F55" s="27"/>
      <c r="G55" s="27"/>
      <c r="H55" s="2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C603C-65BE-466A-B2B5-4BFB818981C9}">
  <dimension ref="A1:L11"/>
  <sheetViews>
    <sheetView workbookViewId="0"/>
  </sheetViews>
  <sheetFormatPr defaultRowHeight="15" x14ac:dyDescent="0.25"/>
  <cols>
    <col min="1" max="1" width="30.85546875" bestFit="1" customWidth="1"/>
    <col min="5" max="5" width="17.85546875" customWidth="1"/>
    <col min="7" max="7" width="18.7109375" customWidth="1"/>
  </cols>
  <sheetData>
    <row r="1" spans="1:12" x14ac:dyDescent="0.25">
      <c r="A1" s="2" t="s">
        <v>432</v>
      </c>
      <c r="B1" s="2" t="s">
        <v>352</v>
      </c>
      <c r="C1" s="2" t="s">
        <v>403</v>
      </c>
      <c r="D1" s="2" t="s">
        <v>407</v>
      </c>
      <c r="E1" s="2" t="s">
        <v>174</v>
      </c>
      <c r="F1" s="2" t="s">
        <v>423</v>
      </c>
      <c r="G1" s="3"/>
      <c r="H1" s="1" t="s">
        <v>425</v>
      </c>
      <c r="I1" s="3"/>
      <c r="J1" s="3"/>
      <c r="K1" s="3"/>
      <c r="L1" s="3"/>
    </row>
    <row r="2" spans="1:12" x14ac:dyDescent="0.25">
      <c r="A2" s="57" t="s">
        <v>112</v>
      </c>
      <c r="B2" s="57" t="s">
        <v>113</v>
      </c>
      <c r="C2" s="57" t="s">
        <v>404</v>
      </c>
      <c r="D2" s="57">
        <v>4171</v>
      </c>
      <c r="E2" s="194">
        <v>8.4781687155574392E-3</v>
      </c>
      <c r="F2" s="5" t="s">
        <v>424</v>
      </c>
      <c r="G2" s="5"/>
      <c r="H2" s="27" t="s">
        <v>426</v>
      </c>
      <c r="I2" s="3"/>
      <c r="J2" s="3"/>
      <c r="K2" s="3"/>
      <c r="L2" s="3"/>
    </row>
    <row r="3" spans="1:12" x14ac:dyDescent="0.25">
      <c r="A3" s="57" t="s">
        <v>116</v>
      </c>
      <c r="B3" s="62" t="s">
        <v>115</v>
      </c>
      <c r="C3" s="57" t="s">
        <v>406</v>
      </c>
      <c r="D3" s="57">
        <v>1982</v>
      </c>
      <c r="E3" s="194">
        <v>8.4781687155574392E-3</v>
      </c>
      <c r="F3" s="5" t="s">
        <v>424</v>
      </c>
      <c r="G3" s="5"/>
      <c r="H3" s="27" t="s">
        <v>426</v>
      </c>
      <c r="I3" s="3"/>
      <c r="K3" s="3"/>
      <c r="L3" s="3"/>
    </row>
    <row r="4" spans="1:12" x14ac:dyDescent="0.25">
      <c r="A4" s="55" t="s">
        <v>427</v>
      </c>
      <c r="B4" s="55" t="s">
        <v>431</v>
      </c>
      <c r="C4" s="55" t="s">
        <v>301</v>
      </c>
      <c r="D4" s="55">
        <v>536</v>
      </c>
      <c r="E4" s="194">
        <v>6.0161523446231003E-3</v>
      </c>
      <c r="F4" s="5" t="s">
        <v>465</v>
      </c>
      <c r="G4" s="5"/>
      <c r="H4" t="s">
        <v>448</v>
      </c>
      <c r="I4" s="3"/>
      <c r="L4" s="3"/>
    </row>
    <row r="5" spans="1:12" x14ac:dyDescent="0.25">
      <c r="A5" s="198" t="s">
        <v>428</v>
      </c>
      <c r="B5" s="198" t="s">
        <v>429</v>
      </c>
      <c r="C5" s="198" t="s">
        <v>430</v>
      </c>
      <c r="D5" s="198">
        <v>828</v>
      </c>
      <c r="E5" s="194">
        <v>0.21031077888997801</v>
      </c>
      <c r="F5" s="5" t="s">
        <v>424</v>
      </c>
      <c r="G5" s="5"/>
      <c r="H5" t="s">
        <v>447</v>
      </c>
      <c r="I5" s="3"/>
      <c r="K5" s="3"/>
      <c r="L5" s="3"/>
    </row>
    <row r="6" spans="1:12" x14ac:dyDescent="0.25"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D7" s="3"/>
      <c r="E7" s="3"/>
      <c r="F7" s="3"/>
      <c r="G7" s="3"/>
      <c r="H7" s="3"/>
      <c r="I7" s="3"/>
      <c r="J7" s="3"/>
      <c r="K7" s="3"/>
      <c r="L7" s="3"/>
    </row>
    <row r="8" spans="1:12" x14ac:dyDescent="0.25">
      <c r="I8" s="3"/>
      <c r="J8" s="3"/>
      <c r="K8" s="3"/>
      <c r="L8" s="3"/>
    </row>
    <row r="9" spans="1:12" x14ac:dyDescent="0.25">
      <c r="A9" s="55"/>
      <c r="B9" s="3" t="s">
        <v>299</v>
      </c>
    </row>
    <row r="10" spans="1:12" x14ac:dyDescent="0.25">
      <c r="A10" s="57"/>
      <c r="B10" s="3" t="s">
        <v>453</v>
      </c>
    </row>
    <row r="11" spans="1:12" x14ac:dyDescent="0.25">
      <c r="A11" s="201"/>
      <c r="B11" t="s">
        <v>452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C23D2-2BB1-432D-A8B8-285AFDC5B3D6}">
  <dimension ref="A1:P8"/>
  <sheetViews>
    <sheetView workbookViewId="0"/>
  </sheetViews>
  <sheetFormatPr defaultRowHeight="15" x14ac:dyDescent="0.25"/>
  <cols>
    <col min="1" max="1" width="36.28515625" bestFit="1" customWidth="1"/>
    <col min="3" max="3" width="10.85546875" bestFit="1" customWidth="1"/>
  </cols>
  <sheetData>
    <row r="1" spans="1:16" x14ac:dyDescent="0.25">
      <c r="A1" s="2" t="s">
        <v>139</v>
      </c>
      <c r="B1" s="3"/>
      <c r="C1" s="2" t="s">
        <v>352</v>
      </c>
      <c r="D1" s="2" t="s">
        <v>354</v>
      </c>
      <c r="E1" s="2" t="s">
        <v>407</v>
      </c>
      <c r="F1" s="2" t="s">
        <v>174</v>
      </c>
      <c r="G1" s="2" t="s">
        <v>423</v>
      </c>
      <c r="H1" s="3"/>
      <c r="I1" s="3"/>
      <c r="J1" s="3"/>
      <c r="K1" s="3"/>
      <c r="L1" s="3"/>
      <c r="M1" s="3"/>
      <c r="N1" s="3"/>
      <c r="O1" s="3"/>
      <c r="P1" s="3"/>
    </row>
    <row r="2" spans="1:16" x14ac:dyDescent="0.25">
      <c r="A2" s="3" t="s">
        <v>3</v>
      </c>
      <c r="B2" s="3"/>
      <c r="C2" s="9" t="s">
        <v>118</v>
      </c>
      <c r="D2" s="3" t="s">
        <v>400</v>
      </c>
      <c r="E2" s="3">
        <v>1462</v>
      </c>
      <c r="F2" s="3">
        <v>4.0187541862022801E-2</v>
      </c>
      <c r="G2" s="3"/>
      <c r="H2" s="3"/>
      <c r="I2" s="3"/>
      <c r="J2" s="3"/>
      <c r="K2" s="3"/>
      <c r="L2" s="3"/>
      <c r="N2" s="3"/>
      <c r="O2" s="3"/>
      <c r="P2" s="3"/>
    </row>
    <row r="3" spans="1:16" x14ac:dyDescent="0.25">
      <c r="A3" s="3" t="s">
        <v>120</v>
      </c>
      <c r="B3" s="3"/>
      <c r="C3" s="9" t="s">
        <v>119</v>
      </c>
      <c r="D3" s="3" t="s">
        <v>401</v>
      </c>
      <c r="E3" s="3">
        <v>777</v>
      </c>
      <c r="F3" s="3">
        <v>4.0187541862022801E-2</v>
      </c>
      <c r="G3" s="3"/>
      <c r="H3" s="3"/>
      <c r="I3" s="3"/>
      <c r="J3" s="3"/>
      <c r="K3" s="3"/>
      <c r="L3" s="3"/>
      <c r="N3" s="3"/>
      <c r="O3" s="3"/>
      <c r="P3" s="3"/>
    </row>
    <row r="4" spans="1:16" x14ac:dyDescent="0.25">
      <c r="A4" s="3" t="s">
        <v>122</v>
      </c>
      <c r="B4" s="3"/>
      <c r="C4" s="10" t="s">
        <v>121</v>
      </c>
      <c r="D4" s="3" t="s">
        <v>402</v>
      </c>
      <c r="E4" s="3">
        <v>747</v>
      </c>
      <c r="F4" s="3">
        <v>4.0187541862022801E-2</v>
      </c>
      <c r="G4" s="3"/>
      <c r="H4" s="3"/>
      <c r="I4" s="3"/>
      <c r="J4" s="3"/>
      <c r="K4" s="3"/>
      <c r="L4" s="3"/>
      <c r="N4" s="3"/>
      <c r="O4" s="3"/>
      <c r="P4" s="3"/>
    </row>
    <row r="5" spans="1:16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5">
      <c r="A6" s="3" t="s">
        <v>433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Compiled ALL DATA</vt:lpstr>
      <vt:lpstr>Biomass composition</vt:lpstr>
      <vt:lpstr>GAM estimate</vt:lpstr>
      <vt:lpstr>Energy</vt:lpstr>
      <vt:lpstr>DNA and RNA</vt:lpstr>
      <vt:lpstr>Amino acids and protein</vt:lpstr>
      <vt:lpstr>Cofactor, inorganic, soluble</vt:lpstr>
      <vt:lpstr>Cell wall, carbs, and pigments</vt:lpstr>
      <vt:lpstr>Lipids</vt:lpstr>
      <vt:lpstr>KBase generic bio func.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Moore, Rachel A</dc:creator>
  <cp:lastModifiedBy>Moore, Rachel A</cp:lastModifiedBy>
  <dcterms:created xsi:type="dcterms:W3CDTF">2022-12-29T16:29:30Z</dcterms:created>
  <dcterms:modified xsi:type="dcterms:W3CDTF">2023-01-06T18:49:12Z</dcterms:modified>
</cp:coreProperties>
</file>