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códigos" sheetId="2" r:id="rId5"/>
    <sheet state="hidden" name="__Solver__" sheetId="3" r:id="rId6"/>
    <sheet state="hidden" name="__Solver___conflict953280549" sheetId="4" r:id="rId7"/>
    <sheet state="hidden" name="__Solver___conflict1026998287" sheetId="5" r:id="rId8"/>
    <sheet state="hidden" name="__Solver___conflict2141454488" sheetId="6" r:id="rId9"/>
    <sheet state="hidden" name="__Solver___conflict147563103" sheetId="7" r:id="rId10"/>
    <sheet state="visible" name="Questão1" sheetId="8" r:id="rId11"/>
    <sheet state="visible" name="Questão2" sheetId="9" r:id="rId12"/>
    <sheet state="visible" name="Questão3" sheetId="10" r:id="rId13"/>
    <sheet state="visible" name="Questão4" sheetId="11" r:id="rId14"/>
    <sheet state="visible" name="Questão5" sheetId="12" r:id="rId15"/>
    <sheet state="visible" name="Questão6" sheetId="13" r:id="rId16"/>
    <sheet state="visible" name="Questão7" sheetId="14" r:id="rId17"/>
    <sheet state="visible" name="Questão8" sheetId="15" r:id="rId18"/>
    <sheet state="visible" name="Questão9" sheetId="16" r:id="rId19"/>
    <sheet state="visible" name="Questão10" sheetId="17" r:id="rId20"/>
  </sheets>
  <definedNames/>
  <calcPr/>
  <extLst>
    <ext uri="GoogleSheetsCustomDataVersion1">
      <go:sheetsCustomData xmlns:go="http://customooxmlschemas.google.com/" r:id="rId21" roundtripDataSignature="AMtx7mjlRitZnsveGrfkovKeqMIkCEVr+g=="/>
    </ext>
  </extLst>
</workbook>
</file>

<file path=xl/sharedStrings.xml><?xml version="1.0" encoding="utf-8"?>
<sst xmlns="http://schemas.openxmlformats.org/spreadsheetml/2006/main" count="267" uniqueCount="203">
  <si>
    <t>CÓDIGO:</t>
  </si>
  <si>
    <t>NOME:</t>
  </si>
  <si>
    <t>RECOMENDAÇÕES:</t>
  </si>
  <si>
    <t>1) Preencha somente as células com a cor cinza claro, não altere as demais.</t>
  </si>
  <si>
    <t>2) Expresse as respostas numéricas com duas casas decimais e separador de milhares. Exemplo: 99.999,99.</t>
  </si>
  <si>
    <t>3) Expresse as taxas em percentuais com duas casas decimais. Exemplo: 9,99%.</t>
  </si>
  <si>
    <t>4) Não acrescente linhas ou colunas nesta planilha.</t>
  </si>
  <si>
    <t>QUESTÃO 1:</t>
  </si>
  <si>
    <t>ENUNCIADO:</t>
  </si>
  <si>
    <r>
      <rPr>
        <rFont val="Arial"/>
        <color theme="1"/>
        <sz val="11.0"/>
      </rPr>
      <t xml:space="preserve">Um financiamento de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 xml:space="preserve"> deverá ser pago em 24 prestações mensais iguais, sendo a primeira à vista, ou seja, uma entrada mais 23 prestações. Considerando que a taxa anual equivalente seja de 12% ao ano, obtenha o valor de cada prestação.</t>
    </r>
  </si>
  <si>
    <t>DADO: X (R$)</t>
  </si>
  <si>
    <t>RESPOSTA (R$):</t>
  </si>
  <si>
    <t>QUESTÃO 2:</t>
  </si>
  <si>
    <r>
      <rPr>
        <rFont val="Arial"/>
        <color theme="1"/>
        <sz val="11.0"/>
      </rPr>
      <t xml:space="preserve">Um financiamento deve ser pago em 240 prestações mensais de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>, pelo Sistema Price, sem entrada, simultaneamente a 40 semestralidades de mesmo valor, a uma taxa efetiva de juros de 7,6% a.a.. Obtenha o total de juros pagos nas prestações mensais e semestrais.</t>
    </r>
  </si>
  <si>
    <t xml:space="preserve">R$ 157.890,49	</t>
  </si>
  <si>
    <t xml:space="preserve"> Corrigido</t>
  </si>
  <si>
    <t>QUESTÃO 3:</t>
  </si>
  <si>
    <r>
      <rPr>
        <rFont val="Arial"/>
        <color theme="1"/>
        <sz val="11.0"/>
      </rPr>
      <t xml:space="preserve">Um imposto no valor de R$ 1.800,00 deve ser pago em 9 parcelas mensais de 1.800,00 / 9 = 200,00, no dia primeiro de cada um dos meses de fevereiro a outubro do mesmo ano. O contribuinte tem a opção equivalente de fazer o pagamento à vista, no primeiro dia de janeiro do mesmo ano, com um desconto </t>
    </r>
    <r>
      <rPr>
        <rFont val="Arial"/>
        <color rgb="FFFF0000"/>
        <sz val="11.0"/>
      </rPr>
      <t xml:space="preserve">i </t>
    </r>
    <r>
      <rPr>
        <rFont val="Arial"/>
        <color theme="1"/>
        <sz val="11.0"/>
      </rPr>
      <t>sobre o valor total. Qual a taxa de juros mensal considerada no plano de pagamento do imposto?</t>
    </r>
  </si>
  <si>
    <t>DADO: i</t>
  </si>
  <si>
    <t>RESPOSTA (a.m.)</t>
  </si>
  <si>
    <t>QUESTÃO 4:</t>
  </si>
  <si>
    <r>
      <rPr>
        <rFont val="Arial"/>
        <color theme="1"/>
        <sz val="11.0"/>
      </rPr>
      <t xml:space="preserve">Um financiamento deve ser pago com três meses de carência, ou seja, de modo que a primeira prestação será de R$ 1.000,00 a partir do quarto mês, seguida de onze prestações mensais desse mesmo valor, após as quais haverá mais doze prestações mensais de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>. Considerando a taxa mensal de juros igual a 0,80%, obtenha o valor de cada prestação em um plano equivalente a esse, com 24 prestações iguais, sem prazo de carência, ou seja, a partir do primeiro mês, sem entrada.</t>
    </r>
  </si>
  <si>
    <t>QUESTÃO 5:</t>
  </si>
  <si>
    <r>
      <rPr>
        <rFont val="Arial"/>
        <color theme="1"/>
        <sz val="11.0"/>
      </rPr>
      <t xml:space="preserve">Na análise da capacidade de pagamento para fins de liberação de financiamento imobiliário, em geral as instituições financeiras limitam que a parcela inicial pode comprometer no máximo 30% da renda mensal. Em função da idade de um candidato a financiamento, o prazo para pagamento é limitado a 120 meses. Considerando que esse candidato possa comprovar uma renda mensal de R$ 8.000,00, obtenha o maior valor do financiamento que ele pode obter pelo Sistema de Prestações Iguais (Price), com a taxa mensal </t>
    </r>
    <r>
      <rPr>
        <rFont val="Arial"/>
        <color rgb="FFFF0000"/>
        <sz val="11.0"/>
      </rPr>
      <t>i</t>
    </r>
    <r>
      <rPr>
        <rFont val="Arial"/>
        <color theme="1"/>
        <sz val="11.0"/>
      </rPr>
      <t>.</t>
    </r>
  </si>
  <si>
    <t>DADO: i (% a.m.)</t>
  </si>
  <si>
    <t>QUESTÃO 6:</t>
  </si>
  <si>
    <r>
      <rPr>
        <rFont val="Arial"/>
        <color theme="1"/>
        <sz val="11.0"/>
      </rPr>
      <t xml:space="preserve">Um automóvel foi comprado com R$ 10.000,00 de entrada e 36 prestações mensais imediatas de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 xml:space="preserve"> cada. Calcular o preço à vista do automóvel, sabendo-se que o custo do dinheiro é de 2,0% ao mês. </t>
    </r>
  </si>
  <si>
    <t>QUESTÃO 7:</t>
  </si>
  <si>
    <r>
      <rPr>
        <rFont val="Arial"/>
        <color theme="1"/>
        <sz val="11.0"/>
      </rPr>
      <t xml:space="preserve">O preço à vista de um carro é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>. Há um plano de venda a prazo que consiste em 20% de entrada e o financiamento do saldo em 24 prestações mensais iguais (antes da correção monetária) e com 3 meses de carência, ou seja, a primeira das 24 prestações vence daqui a 4 meses. Sabendo que a taxa de juros do financiamento é de 1,6% a.m. e estimando uma correção monetária de 0,4% a.m. durante esses 27 meses, a ser incluída em cada prestação, calcule o valor da última prestação.</t>
    </r>
  </si>
  <si>
    <t>QUESTÃO 8:</t>
  </si>
  <si>
    <r>
      <rPr>
        <rFont val="Arial"/>
        <color theme="1"/>
        <sz val="11.0"/>
      </rPr>
      <t xml:space="preserve">Um imóvel pode ser adquirido à vista ou mediante um plano equivalente, ao longo de 20 anos, que consiste em pagamentos mensais pelo Sistema de Amortizações Constantes (antes da correção monetária), à taxa efetiva de 8,60% ao ano. A correção monetária é feita mensalmente, pela taxa referencial (TR). Sabendo-se que a vigésima prestação foi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 xml:space="preserve"> (após a correção monetária, cuja média mensal foi 0,60%), obtenha o valor à vista do imóvel.</t>
    </r>
  </si>
  <si>
    <t>RESPOSTA (R$)</t>
  </si>
  <si>
    <t>QUESTÃO 9:</t>
  </si>
  <si>
    <r>
      <rPr>
        <rFont val="Arial"/>
        <color theme="1"/>
        <sz val="11.0"/>
      </rPr>
      <t xml:space="preserve">Uma empresa tem em carteira seis duplicatas (títulos de crédito) de um mesmo cliente, todas com o mesmo valor de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 xml:space="preserve">, sendo que a primeira delas vence (deverá ser paga) daqui a três meses e as restantes duplicatas nos meses seguintes. Considerando a taxa de juros de 1,20% ao mês, calcule qual seria o valor de cada parcela se o cliente quisesse pagar essa dívida em duas parcelas iguais trimestrais, sendo que a primeira seria paga daqui a três meses. </t>
    </r>
  </si>
  <si>
    <t>QUESTÃO 10:</t>
  </si>
  <si>
    <r>
      <rPr>
        <rFont val="Arial"/>
        <color theme="1"/>
        <sz val="11.0"/>
      </rPr>
      <t xml:space="preserve">Um empresário planeja investir em uma usina de geração solar fotovoltaica para sua indústria e pretende recuperar o capital em 10 anos com a redução de custos anuais decorrente desse investimento, estimada em </t>
    </r>
    <r>
      <rPr>
        <rFont val="Arial"/>
        <color rgb="FFFF0000"/>
        <sz val="11.0"/>
      </rPr>
      <t>X</t>
    </r>
    <r>
      <rPr>
        <rFont val="Arial"/>
        <color theme="1"/>
        <sz val="11.0"/>
      </rPr>
      <t>. Qual seria o maior investimento que ele poderia fazer para conseguir o objetivo, considerando a taxa mínima de atratividade igual a 12% ao ano?</t>
    </r>
  </si>
  <si>
    <t>DADO: X (R$/a)</t>
  </si>
  <si>
    <t>CÓDIGO</t>
  </si>
  <si>
    <t>NOME</t>
  </si>
  <si>
    <t>ALBERTO SABURO KUROISHI FILHO</t>
  </si>
  <si>
    <t>AMANDA SCHNEIDER BASSANI</t>
  </si>
  <si>
    <t>ANA FLAVIA DA SILVA MATIAS</t>
  </si>
  <si>
    <t>ANDRÉ THOMAZ FABRIS</t>
  </si>
  <si>
    <t>ARTHUR FRASSON PRETTI</t>
  </si>
  <si>
    <t>ARTHUR SORRENTINO FERREIRA</t>
  </si>
  <si>
    <t>BEATRIZ VENTURIM</t>
  </si>
  <si>
    <t>DAVI BARBOSA GORONCI</t>
  </si>
  <si>
    <t>DIONATAS SANTOS BRITO</t>
  </si>
  <si>
    <t>EDUARDO HENRIQUE JUNIOR DOS SANTOS</t>
  </si>
  <si>
    <t>EMERSON LARANJA DOS SANTOS</t>
  </si>
  <si>
    <t>FELIPE ANTONIO MOREIRA SILVA</t>
  </si>
  <si>
    <t>FODE ANTONIO SAMBU</t>
  </si>
  <si>
    <t>GABRIEL ESCHER PIRES MENDES</t>
  </si>
  <si>
    <t>GABRIELA DIAS DE SOUZA</t>
  </si>
  <si>
    <t>GABRIELLY DE PAULA SOARES BARBOSA</t>
  </si>
  <si>
    <t>GUILHERME DAYRELL CRUZ SOARES</t>
  </si>
  <si>
    <t>GUILHERME HENRIQUE PEREIRA ZERWES</t>
  </si>
  <si>
    <t>GUILHERME PONTES RIBEIRO</t>
  </si>
  <si>
    <t>HENRIQUE LOSS LOPES</t>
  </si>
  <si>
    <t>HIGOR DAVID OLIVEIRA</t>
  </si>
  <si>
    <t>IGHOR VASCO CAVALCANTE</t>
  </si>
  <si>
    <t>IGOR DOS SANTOS FREITAS</t>
  </si>
  <si>
    <t>ISABELA COUTINHO BORGES</t>
  </si>
  <si>
    <t>KESIA FERNANDA BRIOLI FRANZOTTI</t>
  </si>
  <si>
    <t>LEONARDO LOPES PINTO</t>
  </si>
  <si>
    <t>LETTICYA RIBEIRO VIEIRA SOUTO</t>
  </si>
  <si>
    <t>LORENZO VICTOR FRANCEZ PIPA SILVA</t>
  </si>
  <si>
    <t>LUCAS VIANA BRAUN</t>
  </si>
  <si>
    <t>LUCCA PASSOS COVRE</t>
  </si>
  <si>
    <t>LUIZA BATISTA LACHINI</t>
  </si>
  <si>
    <t>MARIA CLARA REBONATO DELAZARI</t>
  </si>
  <si>
    <t>MARIANA MONTE ALTO DE CASTRO MARTINS</t>
  </si>
  <si>
    <t>MIGUEL ARCANJO GOMES PALAORO</t>
  </si>
  <si>
    <t>NATASHA VIEIRA DANTAS</t>
  </si>
  <si>
    <t>NICOLAS LOVATTE SCHNEEBELI</t>
  </si>
  <si>
    <t>PAULO VITOR GONCALVES PEREIRA</t>
  </si>
  <si>
    <t>RAFAELA VALDO NASCIMENTO</t>
  </si>
  <si>
    <t>RICARDO SOUZA LOCATELI</t>
  </si>
  <si>
    <t>RUYTHER PEDRO DA SILVA MAXIMO</t>
  </si>
  <si>
    <t>VINICIUS TUSTLER NOGUEIRA</t>
  </si>
  <si>
    <t>WENDEL DE OLIVEIRA SILVA</t>
  </si>
  <si>
    <t>202210211669087989622</t>
  </si>
  <si>
    <t>ipZcxjoQyEZHgXnkI</t>
  </si>
  <si>
    <t>LiId</t>
  </si>
  <si>
    <t/>
  </si>
  <si>
    <t>202210211669087982515</t>
  </si>
  <si>
    <t>LuLpvEF3FEarAukFA</t>
  </si>
  <si>
    <t>CycL</t>
  </si>
  <si>
    <t>Um financiamento de X deverá ser pago em 24 prestações mensais iguais, sendo a primeira à vista, ou seja, uma entrada mais 23 prestações. Considerando que a taxa anual equivalente seja de 12% ao ano, obtenha o valor de cada prestação.</t>
  </si>
  <si>
    <t>Resolução:</t>
  </si>
  <si>
    <t>#=VP(B14;C14;-G14)+G14</t>
  </si>
  <si>
    <t>Pelo método de atingir meta, cada parcela é = 2317,38617</t>
  </si>
  <si>
    <t>Dados:</t>
  </si>
  <si>
    <t xml:space="preserve">Taxa </t>
  </si>
  <si>
    <t>N° Periodos</t>
  </si>
  <si>
    <t>Entrada</t>
  </si>
  <si>
    <t>Valor X</t>
  </si>
  <si>
    <t>PGTO - GoalSeek (Valor de Pagamento)</t>
  </si>
  <si>
    <t>?</t>
  </si>
  <si>
    <t>Transformação daTaxa (mensal p/ anual)</t>
  </si>
  <si>
    <t>1 +ia = (1+im)^12</t>
  </si>
  <si>
    <t>1 +ia</t>
  </si>
  <si>
    <t>i_Mensal = (1+12%)^(1/12) -1</t>
  </si>
  <si>
    <t>Taxa_Mensa%</t>
  </si>
  <si>
    <t>Um financiamento deve ser pago em 240 prestações mensais de X, pelo Sistema Price, sem entrada, simultaneamente a 40 semestralidades de mesmo valor, a uma taxa efetiva de juros de 7,6% a.a.. Obtenha o total de juros pagos nas prestações mensais e semestrais.</t>
  </si>
  <si>
    <t>Taxas</t>
  </si>
  <si>
    <t>Semestral</t>
  </si>
  <si>
    <t>Mensal</t>
  </si>
  <si>
    <t>Numero de Prestações</t>
  </si>
  <si>
    <t>Taxa ao Ano</t>
  </si>
  <si>
    <t>Valor da Prestação</t>
  </si>
  <si>
    <t>Taxa Semestral</t>
  </si>
  <si>
    <t>Valor total da Prestação</t>
  </si>
  <si>
    <t>Taxa Mensal</t>
  </si>
  <si>
    <t xml:space="preserve">Valor Presente </t>
  </si>
  <si>
    <t>Total de Juros</t>
  </si>
  <si>
    <t>Um imposto no valor de R$ 1.800,00 deve ser pago em 9 parcelas mensais de 1.800,00 / 9 = 200,00, no dia primeiro de cada um dos meses de fevereiro a outubro do mesmo ano. O contribuinte tem a opção equivalente de fazer o pagamento à vista, no primeiro dia de janeiro do mesmo ano, com um desconto i sobre o valor total. Qual a taxa de juros mensal considerada no plano de pagamento do imposto?</t>
  </si>
  <si>
    <t>Taxa</t>
  </si>
  <si>
    <t>Desconto</t>
  </si>
  <si>
    <t>Valor com Desconto</t>
  </si>
  <si>
    <t>Total</t>
  </si>
  <si>
    <t>Taxa de Juros Mensal</t>
  </si>
  <si>
    <t>Total - Desconto</t>
  </si>
  <si>
    <t>Parcelas</t>
  </si>
  <si>
    <t>Valor de cada parcela</t>
  </si>
  <si>
    <t>Um financiamento deve ser pago com três meses de carência, ou seja, de modo que a primeira prestação será de R$ 1.000,00 a partir do quarto mês, seguida de onze prestações mensais desse mesmo valor, após as quais haverá mais doze prestações mensais de X. Considerando a taxa mensal de juros igual a 0,80%, obtenha o valor de cada prestação em um plano equivalente a esse, com 24 prestações iguais, sem prazo de carência, ou seja, a partir do primeiro mês, sem entrada.</t>
  </si>
  <si>
    <t>Meses 4 a 15 – Parcelas de R$1000,00</t>
  </si>
  <si>
    <t>Meses 16 a 27 – Parcelas de R$2.090,00</t>
  </si>
  <si>
    <t>Plano Equivalente</t>
  </si>
  <si>
    <t>Valor Total das Mensalidades</t>
  </si>
  <si>
    <t>Valor Presente</t>
  </si>
  <si>
    <t>Valor Presente Total</t>
  </si>
  <si>
    <t>Caência</t>
  </si>
  <si>
    <t>Valor da Prestação (4~15)</t>
  </si>
  <si>
    <t>Valor da Prestação (16~27)</t>
  </si>
  <si>
    <t>Na análise da capacidade de pagamento para fins de liberação de financiamento imobiliário, em geral as instituições financeiras limitam que a parcela inicial pode comprometer no máximo 30% da renda mensal. Em função da idade de um candidato a financiamento, o prazo para pagamento é limitado a 120 meses. Considerando que esse candidato possa comprovar uma renda mensal de R$ 8.000,00, obtenha o maior valor do financiamento que ele pode obter pelo Sistema de Prestações Iguais (Price), com a taxa mensal i.</t>
  </si>
  <si>
    <t>DADO: i (%)</t>
  </si>
  <si>
    <t>Parcela Inicial (%)</t>
  </si>
  <si>
    <t>Parcela Inicial (R$)</t>
  </si>
  <si>
    <t>Prazo/Nprestações</t>
  </si>
  <si>
    <t>Renda Mensal</t>
  </si>
  <si>
    <t>Taxa Mensal (i%)</t>
  </si>
  <si>
    <t>Financiamento Máximo</t>
  </si>
  <si>
    <t xml:space="preserve"> Motivo do Erro: estava somado com a celula E21 (+1 PARDCELA INICIAL)</t>
  </si>
  <si>
    <t xml:space="preserve">Um automóvel foi comprado com R$ 10.000,00 de entrada e 36 prestações mensais imediatas de X cada. Calcular o preço à vista do automóvel, sabendo-se que o custo do dinheiro é de 2,0% ao mês. </t>
  </si>
  <si>
    <t>Taxa ao Mês</t>
  </si>
  <si>
    <t>Quantidade de Prestações</t>
  </si>
  <si>
    <t>Valor de Entrada</t>
  </si>
  <si>
    <t>Valor da Prestação Mensal</t>
  </si>
  <si>
    <t>VP</t>
  </si>
  <si>
    <t>VP + Entrada = à vista</t>
  </si>
  <si>
    <t>O preço à vista de um carro é X. Há um plano de venda a prazo que consiste em 20% de entrada e o financiamento do saldo em 24 prestações mensais iguais (antes da correção monetária) e com 3 meses de carência, ou seja, a primeira das 24 prestações vence daqui a 4 meses. Sabendo que a taxa de juros do financiamento é de 1,6% a.m. e estimando uma correção monetária de 0,4% a.m. durante esses 27 meses, a ser incluída em cada prestação, calcule o valor da última prestação.</t>
  </si>
  <si>
    <t>% Final</t>
  </si>
  <si>
    <t>#=((1+D24)*(1+C26)-1)</t>
  </si>
  <si>
    <t>Valor Inicial</t>
  </si>
  <si>
    <t>20%10900</t>
  </si>
  <si>
    <t>Taxa de juros</t>
  </si>
  <si>
    <t>a.m</t>
  </si>
  <si>
    <t>Taxa de correção monetária</t>
  </si>
  <si>
    <t>Mês</t>
  </si>
  <si>
    <t>TR</t>
  </si>
  <si>
    <t>TR ACUMULADO</t>
  </si>
  <si>
    <t>Principal</t>
  </si>
  <si>
    <t>Sem correção</t>
  </si>
  <si>
    <t>Com correção</t>
  </si>
  <si>
    <t>-</t>
  </si>
  <si>
    <t>Juros no mês</t>
  </si>
  <si>
    <t>Débito antes o pagamento</t>
  </si>
  <si>
    <t>Pagamento no final</t>
  </si>
  <si>
    <t>Débito após o pagamento</t>
  </si>
  <si>
    <t>R$ -</t>
  </si>
  <si>
    <t>Preço à vista</t>
  </si>
  <si>
    <t>Número de prestações</t>
  </si>
  <si>
    <t>Carência em meses</t>
  </si>
  <si>
    <t>Juros do financiamento [a.m.]</t>
  </si>
  <si>
    <t>Correção monetária [a.m.]</t>
  </si>
  <si>
    <t>Valor da Última</t>
  </si>
  <si>
    <t>Um imóvel pode ser adquirido à vista ou mediante um plano equivalente, ao longo de 20 anos, que consiste em pagamentos mensais pelo Sistema de Amortizações Constantes (antes da correção monetária), à taxa efetiva de 8,60% ao ano. A correção monetária é feita mensalmente, pela taxa referencial (TR). Sabendo-se que a vigésima prestação foi X (após a correção monetária, cuja média mensal foi 0,60%), obtenha o valor à vista do imóvel.</t>
  </si>
  <si>
    <t xml:space="preserve">DADO: X (R$)					</t>
  </si>
  <si>
    <t>20° prestação</t>
  </si>
  <si>
    <t>Com Correção</t>
  </si>
  <si>
    <t>Taxa (anos)</t>
  </si>
  <si>
    <t>Sem Correção</t>
  </si>
  <si>
    <t>Taxa (mes)</t>
  </si>
  <si>
    <t>Rascunho</t>
  </si>
  <si>
    <t>Valor a vista</t>
  </si>
  <si>
    <t>Nperiodo</t>
  </si>
  <si>
    <t>&lt;- 20 * 12</t>
  </si>
  <si>
    <t>TR ACOMULADA</t>
  </si>
  <si>
    <t>Uma empresa tem em carteira seis duplicatas (títulos de crédito) de um mesmo cliente, todas com o mesmo valor de X, sendo que a primeira delas vence (deverá ser paga) daqui a três meses e as restantes duplicatas nos meses seguintes. Considerando a taxa de juros de 1,20% ao mês, calcule qual seria o valor de cada parcela se o cliente quisesse pagar essa dívida em duas parcelas iguais trimestrais, sendo que a primeira seria paga daqui a três meses.</t>
  </si>
  <si>
    <t>taxa dejurus mensal</t>
  </si>
  <si>
    <t>valor da duplicata</t>
  </si>
  <si>
    <t>número de duplicatas</t>
  </si>
  <si>
    <t>taxa de juros trimestral</t>
  </si>
  <si>
    <t>valor total</t>
  </si>
  <si>
    <t>valor após tres meses</t>
  </si>
  <si>
    <t>valor das parcelas</t>
  </si>
  <si>
    <t>mês</t>
  </si>
  <si>
    <t>Valor A pagar</t>
  </si>
  <si>
    <t>Um empresário planeja investir em uma usina de geração solar fotovoltaica para sua indústria e pretende recuperar o capital em 10 anos com a redução de custos anuais decorrente desse investimento, estimada em X. Qual seria o maior investimento que ele poderia fazer para conseguir o objetivo, considerando a taxa mínima de atratividade igual a 12% ao ano?</t>
  </si>
  <si>
    <t>tempo (anos)</t>
  </si>
  <si>
    <t>custo capital</t>
  </si>
  <si>
    <t>investimento 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</si>
</sst>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&quot;R$&quot;\ #,##0.00;[Red]\-&quot;R$&quot;\ #,##0.00"/>
    <numFmt numFmtId="166" formatCode="0.0%"/>
  </numFmts>
  <fonts count="30">
    <font>
      <sz val="11.0"/>
      <color rgb="FF000000"/>
      <name val="Arial"/>
      <scheme val="minor"/>
    </font>
    <font>
      <sz val="14.0"/>
      <color theme="1"/>
      <name val="Arial"/>
    </font>
    <font>
      <sz val="72.0"/>
      <color rgb="FFFFFFFF"/>
      <name val="Arial"/>
    </font>
    <font>
      <sz val="11.0"/>
      <color theme="1"/>
      <name val="Arial"/>
    </font>
    <font>
      <sz val="18.0"/>
      <color theme="1"/>
      <name val="Arial"/>
    </font>
    <font/>
    <font>
      <sz val="16.0"/>
      <color theme="1"/>
      <name val="Arial"/>
    </font>
    <font>
      <b/>
      <sz val="11.0"/>
      <color theme="1"/>
      <name val="Arial"/>
    </font>
    <font>
      <sz val="11.0"/>
      <color rgb="FFFF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0.0"/>
      <color rgb="FF000000"/>
      <name val="Arial"/>
    </font>
    <font>
      <color theme="1"/>
      <name val="Calibri"/>
    </font>
    <font>
      <b/>
      <color theme="1"/>
      <name val="Inconsolata"/>
    </font>
    <font>
      <b/>
      <sz val="11.0"/>
      <color rgb="FF000000"/>
      <name val="Inconsolata"/>
    </font>
    <font>
      <b/>
      <sz val="11.0"/>
      <color theme="1"/>
      <name val="Inconsolata"/>
    </font>
    <font>
      <b/>
      <sz val="11.0"/>
      <color rgb="FFFF0000"/>
      <name val="Inconsolata"/>
    </font>
    <font>
      <b/>
      <color rgb="FF3266D5"/>
      <name val="Inconsolata"/>
    </font>
    <font>
      <b/>
      <color rgb="FFB7B7B7"/>
      <name val="Inconsolata"/>
    </font>
    <font>
      <color theme="1"/>
      <name val="Inconsolata"/>
    </font>
    <font>
      <b/>
      <sz val="11.0"/>
      <color rgb="FFFFFFFF"/>
      <name val="Inconsolata"/>
    </font>
    <font>
      <b/>
      <color rgb="FFFF0000"/>
      <name val="Inconsolata"/>
    </font>
    <font>
      <b/>
      <color rgb="FF000000"/>
      <name val="Inconsolata"/>
    </font>
    <font>
      <color rgb="FF000000"/>
      <name val="Inconsolata"/>
    </font>
    <font>
      <color rgb="FF3266D5"/>
      <name val="Inconsolata"/>
    </font>
    <font>
      <color theme="1"/>
      <name val="Verdana"/>
    </font>
    <font>
      <b/>
      <color theme="1"/>
      <name val="Calibri"/>
    </font>
    <font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00BF00"/>
        <bgColor rgb="FF00BF00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548235"/>
        <bgColor rgb="FF548235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0" fillId="0" fontId="3" numFmtId="0" xfId="0" applyFont="1"/>
    <xf borderId="3" fillId="0" fontId="4" numFmtId="0" xfId="0" applyAlignment="1" applyBorder="1" applyFont="1">
      <alignment vertical="top"/>
    </xf>
    <xf borderId="4" fillId="0" fontId="4" numFmtId="0" xfId="0" applyAlignment="1" applyBorder="1" applyFont="1">
      <alignment shrinkToFit="0" vertical="top" wrapText="1"/>
    </xf>
    <xf borderId="5" fillId="0" fontId="3" numFmtId="0" xfId="0" applyAlignment="1" applyBorder="1" applyFont="1">
      <alignment horizontal="left" vertical="top"/>
    </xf>
    <xf borderId="6" fillId="0" fontId="3" numFmtId="0" xfId="0" applyAlignment="1" applyBorder="1" applyFont="1">
      <alignment shrinkToFit="0" vertical="center" wrapText="1"/>
    </xf>
    <xf borderId="7" fillId="0" fontId="5" numFmtId="0" xfId="0" applyBorder="1" applyFont="1"/>
    <xf borderId="8" fillId="0" fontId="3" numFmtId="0" xfId="0" applyAlignment="1" applyBorder="1" applyFont="1">
      <alignment shrinkToFit="0" vertical="center" wrapText="1"/>
    </xf>
    <xf borderId="3" fillId="0" fontId="5" numFmtId="0" xfId="0" applyBorder="1" applyFont="1"/>
    <xf borderId="3" fillId="0" fontId="6" numFmtId="0" xfId="0" applyAlignment="1" applyBorder="1" applyFont="1">
      <alignment vertical="top"/>
    </xf>
    <xf borderId="4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vertical="top"/>
    </xf>
    <xf borderId="7" fillId="0" fontId="7" numFmtId="0" xfId="0" applyAlignment="1" applyBorder="1" applyFont="1">
      <alignment vertical="top"/>
    </xf>
    <xf borderId="4" fillId="0" fontId="8" numFmtId="4" xfId="0" applyAlignment="1" applyBorder="1" applyFont="1" applyNumberFormat="1">
      <alignment horizontal="left"/>
    </xf>
    <xf borderId="3" fillId="0" fontId="7" numFmtId="0" xfId="0" applyAlignment="1" applyBorder="1" applyFont="1">
      <alignment vertical="top"/>
    </xf>
    <xf borderId="9" fillId="2" fontId="7" numFmtId="4" xfId="0" applyBorder="1" applyFill="1" applyFont="1" applyNumberFormat="1"/>
    <xf borderId="9" fillId="2" fontId="9" numFmtId="4" xfId="0" applyAlignment="1" applyBorder="1" applyFont="1" applyNumberFormat="1">
      <alignment horizontal="right" readingOrder="0"/>
    </xf>
    <xf borderId="0" fillId="3" fontId="10" numFmtId="0" xfId="0" applyAlignment="1" applyFill="1" applyFont="1">
      <alignment readingOrder="0"/>
    </xf>
    <xf borderId="0" fillId="0" fontId="10" numFmtId="0" xfId="0" applyFont="1"/>
    <xf borderId="4" fillId="0" fontId="8" numFmtId="10" xfId="0" applyAlignment="1" applyBorder="1" applyFont="1" applyNumberFormat="1">
      <alignment horizontal="left"/>
    </xf>
    <xf borderId="9" fillId="2" fontId="7" numFmtId="10" xfId="0" applyBorder="1" applyFont="1" applyNumberFormat="1"/>
    <xf borderId="7" fillId="0" fontId="11" numFmtId="0" xfId="0" applyAlignment="1" applyBorder="1" applyFont="1">
      <alignment vertical="top"/>
    </xf>
    <xf borderId="9" fillId="2" fontId="9" numFmtId="4" xfId="0" applyAlignment="1" applyBorder="1" applyFont="1" applyNumberFormat="1">
      <alignment readingOrder="0"/>
    </xf>
    <xf borderId="0" fillId="0" fontId="7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9" xfId="0" applyAlignment="1" applyFont="1" applyNumberFormat="1">
      <alignment shrinkToFit="0" vertical="top" wrapText="1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Font="1"/>
    <xf borderId="0" fillId="0" fontId="14" numFmtId="0" xfId="0" applyFont="1"/>
    <xf quotePrefix="1" borderId="0" fillId="0" fontId="14" numFmtId="0" xfId="0" applyFont="1"/>
    <xf borderId="0" fillId="0" fontId="15" numFmtId="0" xfId="0" applyFont="1"/>
    <xf borderId="10" fillId="4" fontId="16" numFmtId="0" xfId="0" applyAlignment="1" applyBorder="1" applyFill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4" fontId="17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18" fillId="5" fontId="18" numFmtId="4" xfId="0" applyAlignment="1" applyBorder="1" applyFill="1" applyFont="1" applyNumberFormat="1">
      <alignment horizontal="center" vertical="center"/>
    </xf>
    <xf borderId="21" fillId="4" fontId="15" numFmtId="0" xfId="0" applyAlignment="1" applyBorder="1" applyFont="1">
      <alignment horizontal="center"/>
    </xf>
    <xf borderId="18" fillId="4" fontId="15" numFmtId="0" xfId="0" applyAlignment="1" applyBorder="1" applyFont="1">
      <alignment horizontal="center"/>
    </xf>
    <xf borderId="22" fillId="4" fontId="17" numFmtId="0" xfId="0" applyAlignment="1" applyBorder="1" applyFont="1">
      <alignment horizontal="center" vertical="center"/>
    </xf>
    <xf borderId="21" fillId="6" fontId="15" numFmtId="0" xfId="0" applyAlignment="1" applyBorder="1" applyFill="1" applyFont="1">
      <alignment horizontal="center"/>
    </xf>
    <xf borderId="21" fillId="6" fontId="15" numFmtId="0" xfId="0" applyBorder="1" applyFont="1"/>
    <xf borderId="18" fillId="6" fontId="15" numFmtId="0" xfId="0" applyAlignment="1" applyBorder="1" applyFont="1">
      <alignment horizontal="center"/>
    </xf>
    <xf borderId="23" fillId="0" fontId="5" numFmtId="0" xfId="0" applyBorder="1" applyFont="1"/>
    <xf borderId="21" fillId="7" fontId="15" numFmtId="10" xfId="0" applyAlignment="1" applyBorder="1" applyFill="1" applyFont="1" applyNumberFormat="1">
      <alignment horizontal="center"/>
    </xf>
    <xf borderId="21" fillId="7" fontId="19" numFmtId="0" xfId="0" applyAlignment="1" applyBorder="1" applyFont="1">
      <alignment horizontal="center" shrinkToFit="0" wrapText="0"/>
    </xf>
    <xf borderId="21" fillId="7" fontId="15" numFmtId="0" xfId="0" applyAlignment="1" applyBorder="1" applyFont="1">
      <alignment horizontal="center"/>
    </xf>
    <xf borderId="21" fillId="8" fontId="15" numFmtId="164" xfId="0" applyBorder="1" applyFill="1" applyFont="1" applyNumberFormat="1"/>
    <xf borderId="18" fillId="9" fontId="15" numFmtId="0" xfId="0" applyAlignment="1" applyBorder="1" applyFill="1" applyFont="1">
      <alignment horizontal="center"/>
    </xf>
    <xf borderId="0" fillId="0" fontId="15" numFmtId="10" xfId="0" applyFont="1" applyNumberFormat="1"/>
    <xf borderId="10" fillId="4" fontId="17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/>
    </xf>
    <xf borderId="21" fillId="0" fontId="15" numFmtId="0" xfId="0" applyAlignment="1" applyBorder="1" applyFont="1">
      <alignment horizontal="center"/>
    </xf>
    <xf borderId="21" fillId="0" fontId="15" numFmtId="10" xfId="0" applyAlignment="1" applyBorder="1" applyFont="1" applyNumberFormat="1">
      <alignment horizontal="center"/>
    </xf>
    <xf borderId="18" fillId="4" fontId="17" numFmtId="0" xfId="0" applyAlignment="1" applyBorder="1" applyFont="1">
      <alignment horizontal="center" vertical="top"/>
    </xf>
    <xf borderId="18" fillId="10" fontId="18" numFmtId="4" xfId="0" applyAlignment="1" applyBorder="1" applyFill="1" applyFont="1" applyNumberFormat="1">
      <alignment horizontal="center"/>
    </xf>
    <xf borderId="0" fillId="0" fontId="15" numFmtId="0" xfId="0" applyAlignment="1" applyFont="1">
      <alignment horizontal="center" shrinkToFit="0" vertical="center" wrapText="1"/>
    </xf>
    <xf borderId="10" fillId="8" fontId="15" numFmtId="0" xfId="0" applyAlignment="1" applyBorder="1" applyFont="1">
      <alignment horizontal="center" shrinkToFit="0" vertical="center" wrapText="1"/>
    </xf>
    <xf borderId="18" fillId="8" fontId="15" numFmtId="0" xfId="0" applyAlignment="1" applyBorder="1" applyFont="1">
      <alignment horizontal="center" shrinkToFit="0" vertical="center" wrapText="1"/>
    </xf>
    <xf borderId="18" fillId="8" fontId="20" numFmtId="0" xfId="0" applyAlignment="1" applyBorder="1" applyFont="1">
      <alignment horizontal="center" readingOrder="0" shrinkToFit="0" vertical="center" wrapText="1"/>
    </xf>
    <xf borderId="21" fillId="0" fontId="15" numFmtId="0" xfId="0" applyBorder="1" applyFont="1"/>
    <xf borderId="21" fillId="0" fontId="15" numFmtId="10" xfId="0" applyBorder="1" applyFont="1" applyNumberFormat="1"/>
    <xf borderId="21" fillId="0" fontId="15" numFmtId="164" xfId="0" applyBorder="1" applyFont="1" applyNumberFormat="1"/>
    <xf borderId="21" fillId="11" fontId="16" numFmtId="164" xfId="0" applyBorder="1" applyFill="1" applyFont="1" applyNumberFormat="1"/>
    <xf borderId="22" fillId="8" fontId="15" numFmtId="0" xfId="0" applyAlignment="1" applyBorder="1" applyFont="1">
      <alignment horizontal="center" shrinkToFit="0" vertical="center" wrapText="1"/>
    </xf>
    <xf borderId="21" fillId="3" fontId="21" numFmtId="164" xfId="0" applyBorder="1" applyFont="1" applyNumberFormat="1"/>
    <xf borderId="0" fillId="0" fontId="20" numFmtId="0" xfId="0" applyAlignment="1" applyFont="1">
      <alignment readingOrder="0"/>
    </xf>
    <xf borderId="18" fillId="10" fontId="18" numFmtId="10" xfId="0" applyAlignment="1" applyBorder="1" applyFont="1" applyNumberFormat="1">
      <alignment horizontal="center"/>
    </xf>
    <xf borderId="21" fillId="12" fontId="22" numFmtId="0" xfId="0" applyAlignment="1" applyBorder="1" applyFill="1" applyFont="1">
      <alignment vertical="bottom"/>
    </xf>
    <xf borderId="20" fillId="0" fontId="17" numFmtId="165" xfId="0" applyAlignment="1" applyBorder="1" applyFont="1" applyNumberFormat="1">
      <alignment horizontal="right" shrinkToFit="0" wrapText="1"/>
    </xf>
    <xf borderId="21" fillId="0" fontId="17" numFmtId="165" xfId="0" applyAlignment="1" applyBorder="1" applyFont="1" applyNumberFormat="1">
      <alignment horizontal="right" vertical="bottom"/>
    </xf>
    <xf borderId="23" fillId="13" fontId="17" numFmtId="10" xfId="0" applyAlignment="1" applyBorder="1" applyFill="1" applyFont="1" applyNumberFormat="1">
      <alignment horizontal="right" vertical="bottom"/>
    </xf>
    <xf borderId="23" fillId="0" fontId="17" numFmtId="165" xfId="0" applyAlignment="1" applyBorder="1" applyFont="1" applyNumberFormat="1">
      <alignment horizontal="right" vertical="bottom"/>
    </xf>
    <xf borderId="23" fillId="12" fontId="22" numFmtId="0" xfId="0" applyAlignment="1" applyBorder="1" applyFont="1">
      <alignment vertical="bottom"/>
    </xf>
    <xf borderId="17" fillId="0" fontId="17" numFmtId="0" xfId="0" applyAlignment="1" applyBorder="1" applyFont="1">
      <alignment horizontal="right" shrinkToFit="0" wrapText="1"/>
    </xf>
    <xf borderId="23" fillId="12" fontId="22" numFmtId="0" xfId="0" applyAlignment="1" applyBorder="1" applyFont="1">
      <alignment shrinkToFit="0" vertical="bottom" wrapText="1"/>
    </xf>
    <xf borderId="17" fillId="0" fontId="17" numFmtId="165" xfId="0" applyAlignment="1" applyBorder="1" applyFont="1" applyNumberFormat="1">
      <alignment horizontal="right" shrinkToFit="0" wrapText="1"/>
    </xf>
    <xf borderId="14" fillId="0" fontId="18" numFmtId="4" xfId="0" applyAlignment="1" applyBorder="1" applyFont="1" applyNumberFormat="1">
      <alignment horizontal="left" shrinkToFit="0" vertical="bottom" wrapText="0"/>
    </xf>
    <xf borderId="10" fillId="4" fontId="17" numFmtId="0" xfId="0" applyAlignment="1" applyBorder="1" applyFont="1">
      <alignment horizontal="center" shrinkToFit="0" vertical="center" wrapText="1"/>
    </xf>
    <xf borderId="0" fillId="0" fontId="15" numFmtId="4" xfId="0" applyFont="1" applyNumberFormat="1"/>
    <xf borderId="18" fillId="10" fontId="15" numFmtId="4" xfId="0" applyAlignment="1" applyBorder="1" applyFont="1" applyNumberFormat="1">
      <alignment horizontal="center"/>
    </xf>
    <xf borderId="18" fillId="8" fontId="15" numFmtId="0" xfId="0" applyAlignment="1" applyBorder="1" applyFont="1">
      <alignment horizontal="center" vertical="center"/>
    </xf>
    <xf borderId="10" fillId="8" fontId="15" numFmtId="0" xfId="0" applyAlignment="1" applyBorder="1" applyFont="1">
      <alignment horizontal="center" vertical="center"/>
    </xf>
    <xf borderId="21" fillId="8" fontId="16" numFmtId="0" xfId="0" applyAlignment="1" applyBorder="1" applyFont="1">
      <alignment horizontal="left" shrinkToFit="0" vertical="center" wrapText="0"/>
    </xf>
    <xf borderId="16" fillId="0" fontId="15" numFmtId="164" xfId="0" applyBorder="1" applyFont="1" applyNumberFormat="1"/>
    <xf borderId="18" fillId="0" fontId="15" numFmtId="164" xfId="0" applyBorder="1" applyFont="1" applyNumberFormat="1"/>
    <xf borderId="16" fillId="11" fontId="16" numFmtId="164" xfId="0" applyBorder="1" applyFont="1" applyNumberFormat="1"/>
    <xf borderId="21" fillId="8" fontId="15" numFmtId="0" xfId="0" applyAlignment="1" applyBorder="1" applyFont="1">
      <alignment horizontal="left" vertical="center"/>
    </xf>
    <xf borderId="21" fillId="8" fontId="16" numFmtId="0" xfId="0" applyAlignment="1" applyBorder="1" applyFont="1">
      <alignment horizontal="left" vertical="center"/>
    </xf>
    <xf borderId="10" fillId="4" fontId="17" numFmtId="0" xfId="0" applyAlignment="1" applyBorder="1" applyFont="1">
      <alignment shrinkToFit="0" vertical="center" wrapText="1"/>
    </xf>
    <xf borderId="0" fillId="11" fontId="19" numFmtId="0" xfId="0" applyAlignment="1" applyFont="1">
      <alignment shrinkToFit="0" wrapText="0"/>
    </xf>
    <xf borderId="18" fillId="10" fontId="23" numFmtId="10" xfId="0" applyAlignment="1" applyBorder="1" applyFont="1" applyNumberFormat="1">
      <alignment shrinkToFit="0" wrapText="0"/>
    </xf>
    <xf borderId="18" fillId="8" fontId="15" numFmtId="0" xfId="0" applyBorder="1" applyFont="1"/>
    <xf borderId="21" fillId="8" fontId="15" numFmtId="0" xfId="0" applyBorder="1" applyFont="1"/>
    <xf borderId="0" fillId="0" fontId="24" numFmtId="0" xfId="0" applyFont="1"/>
    <xf borderId="18" fillId="8" fontId="24" numFmtId="0" xfId="0" applyAlignment="1" applyBorder="1" applyFont="1">
      <alignment horizontal="left"/>
    </xf>
    <xf borderId="21" fillId="3" fontId="25" numFmtId="164" xfId="0" applyAlignment="1" applyBorder="1" applyFont="1" applyNumberFormat="1">
      <alignment readingOrder="0"/>
    </xf>
    <xf borderId="0" fillId="3" fontId="24" numFmtId="0" xfId="0" applyAlignment="1" applyFont="1">
      <alignment readingOrder="0"/>
    </xf>
    <xf borderId="18" fillId="8" fontId="23" numFmtId="4" xfId="0" applyBorder="1" applyFont="1" applyNumberFormat="1"/>
    <xf borderId="22" fillId="4" fontId="15" numFmtId="0" xfId="0" applyAlignment="1" applyBorder="1" applyFont="1">
      <alignment horizontal="center" vertical="center"/>
    </xf>
    <xf borderId="22" fillId="4" fontId="15" numFmtId="0" xfId="0" applyAlignment="1" applyBorder="1" applyFont="1">
      <alignment horizontal="center" shrinkToFit="0" vertical="center" wrapText="1"/>
    </xf>
    <xf borderId="22" fillId="4" fontId="17" numFmtId="0" xfId="0" applyAlignment="1" applyBorder="1" applyFont="1">
      <alignment horizontal="center" shrinkToFit="0" vertical="center" wrapText="1"/>
    </xf>
    <xf borderId="21" fillId="5" fontId="15" numFmtId="9" xfId="0" applyBorder="1" applyFont="1" applyNumberFormat="1"/>
    <xf borderId="21" fillId="5" fontId="15" numFmtId="0" xfId="0" applyAlignment="1" applyBorder="1" applyFont="1">
      <alignment horizontal="center"/>
    </xf>
    <xf borderId="21" fillId="5" fontId="15" numFmtId="4" xfId="0" applyAlignment="1" applyBorder="1" applyFont="1" applyNumberFormat="1">
      <alignment horizontal="center"/>
    </xf>
    <xf borderId="0" fillId="0" fontId="15" numFmtId="9" xfId="0" applyFont="1" applyNumberFormat="1"/>
    <xf borderId="0" fillId="0" fontId="15" numFmtId="0" xfId="0" applyAlignment="1" applyFont="1">
      <alignment horizontal="center"/>
    </xf>
    <xf borderId="0" fillId="0" fontId="15" numFmtId="10" xfId="0" applyAlignment="1" applyFont="1" applyNumberFormat="1">
      <alignment horizontal="center"/>
    </xf>
    <xf borderId="10" fillId="4" fontId="17" numFmtId="9" xfId="0" applyAlignment="1" applyBorder="1" applyFont="1" applyNumberFormat="1">
      <alignment horizontal="center" shrinkToFit="0" vertical="center" wrapText="1"/>
    </xf>
    <xf borderId="18" fillId="10" fontId="17" numFmtId="0" xfId="0" applyAlignment="1" applyBorder="1" applyFont="1">
      <alignment horizontal="center" vertical="center"/>
    </xf>
    <xf borderId="18" fillId="8" fontId="15" numFmtId="164" xfId="0" applyBorder="1" applyFont="1" applyNumberFormat="1"/>
    <xf borderId="22" fillId="0" fontId="16" numFmtId="9" xfId="0" applyAlignment="1" applyBorder="1" applyFont="1" applyNumberFormat="1">
      <alignment horizontal="center" shrinkToFit="0" vertical="center" wrapText="1"/>
    </xf>
    <xf borderId="21" fillId="14" fontId="16" numFmtId="9" xfId="0" applyAlignment="1" applyBorder="1" applyFill="1" applyFont="1" applyNumberFormat="1">
      <alignment shrinkToFit="0" vertical="bottom" wrapText="0"/>
    </xf>
    <xf borderId="21" fillId="14" fontId="16" numFmtId="4" xfId="0" applyAlignment="1" applyBorder="1" applyFont="1" applyNumberFormat="1">
      <alignment horizontal="right" shrinkToFit="0" vertical="bottom" wrapText="0"/>
    </xf>
    <xf borderId="0" fillId="0" fontId="16" numFmtId="9" xfId="0" applyAlignment="1" applyFont="1" applyNumberFormat="1">
      <alignment shrinkToFit="0" vertical="bottom" wrapText="0"/>
    </xf>
    <xf borderId="21" fillId="14" fontId="16" numFmtId="0" xfId="0" applyAlignment="1" applyBorder="1" applyFont="1">
      <alignment horizontal="right" shrinkToFit="0" vertical="bottom" wrapText="0"/>
    </xf>
    <xf borderId="21" fillId="14" fontId="16" numFmtId="9" xfId="0" applyAlignment="1" applyBorder="1" applyFont="1" applyNumberFormat="1">
      <alignment vertical="bottom"/>
    </xf>
    <xf borderId="21" fillId="14" fontId="16" numFmtId="166" xfId="0" applyAlignment="1" applyBorder="1" applyFont="1" applyNumberFormat="1">
      <alignment horizontal="right" shrinkToFit="0" wrapText="0"/>
    </xf>
    <xf borderId="21" fillId="14" fontId="16" numFmtId="9" xfId="0" applyAlignment="1" applyBorder="1" applyFont="1" applyNumberFormat="1">
      <alignment horizontal="left" shrinkToFit="0" wrapText="0"/>
    </xf>
    <xf borderId="21" fillId="9" fontId="16" numFmtId="9" xfId="0" applyAlignment="1" applyBorder="1" applyFont="1" applyNumberFormat="1">
      <alignment horizontal="center" shrinkToFit="0" wrapText="0"/>
    </xf>
    <xf borderId="21" fillId="9" fontId="16" numFmtId="9" xfId="0" applyAlignment="1" applyBorder="1" applyFont="1" applyNumberFormat="1">
      <alignment horizontal="center"/>
    </xf>
    <xf borderId="18" fillId="9" fontId="17" numFmtId="9" xfId="0" applyAlignment="1" applyBorder="1" applyFont="1" applyNumberFormat="1">
      <alignment horizontal="center"/>
    </xf>
    <xf borderId="0" fillId="0" fontId="15" numFmtId="9" xfId="0" applyAlignment="1" applyFont="1" applyNumberFormat="1">
      <alignment vertical="bottom"/>
    </xf>
    <xf borderId="21" fillId="0" fontId="16" numFmtId="3" xfId="0" applyAlignment="1" applyBorder="1" applyFont="1" applyNumberFormat="1">
      <alignment horizontal="right" shrinkToFit="0" vertical="bottom" wrapText="0"/>
    </xf>
    <xf borderId="21" fillId="0" fontId="16" numFmtId="9" xfId="0" applyAlignment="1" applyBorder="1" applyFont="1" applyNumberFormat="1">
      <alignment horizontal="center" shrinkToFit="0" vertical="bottom" wrapText="0"/>
    </xf>
    <xf borderId="21" fillId="0" fontId="16" numFmtId="166" xfId="0" applyAlignment="1" applyBorder="1" applyFont="1" applyNumberFormat="1">
      <alignment horizontal="right" shrinkToFit="0" vertical="bottom" wrapText="0"/>
    </xf>
    <xf borderId="21" fillId="0" fontId="16" numFmtId="164" xfId="0" applyAlignment="1" applyBorder="1" applyFont="1" applyNumberFormat="1">
      <alignment horizontal="right" shrinkToFit="0" vertical="bottom" wrapText="0"/>
    </xf>
    <xf borderId="21" fillId="0" fontId="16" numFmtId="9" xfId="0" applyAlignment="1" applyBorder="1" applyFont="1" applyNumberFormat="1">
      <alignment horizontal="center" shrinkToFit="0" vertical="center" wrapText="1"/>
    </xf>
    <xf borderId="0" fillId="0" fontId="16" numFmtId="9" xfId="0" applyAlignment="1" applyFont="1" applyNumberFormat="1">
      <alignment horizontal="center" shrinkToFit="0" vertical="center" wrapText="1"/>
    </xf>
    <xf borderId="20" fillId="0" fontId="16" numFmtId="9" xfId="0" applyAlignment="1" applyBorder="1" applyFont="1" applyNumberFormat="1">
      <alignment horizontal="center" shrinkToFit="0" vertical="center" wrapText="1"/>
    </xf>
    <xf borderId="23" fillId="0" fontId="16" numFmtId="164" xfId="0" applyAlignment="1" applyBorder="1" applyFont="1" applyNumberFormat="1">
      <alignment horizontal="right" shrinkToFit="0" vertical="bottom" wrapText="0"/>
    </xf>
    <xf borderId="15" fillId="0" fontId="16" numFmtId="164" xfId="0" applyAlignment="1" applyBorder="1" applyFont="1" applyNumberFormat="1">
      <alignment horizontal="right" shrinkToFit="0" vertical="bottom" wrapText="0"/>
    </xf>
    <xf borderId="0" fillId="0" fontId="16" numFmtId="164" xfId="0" applyAlignment="1" applyFont="1" applyNumberFormat="1">
      <alignment shrinkToFit="0" vertical="bottom" wrapText="0"/>
    </xf>
    <xf borderId="17" fillId="0" fontId="16" numFmtId="164" xfId="0" applyAlignment="1" applyBorder="1" applyFont="1" applyNumberFormat="1">
      <alignment horizontal="right" shrinkToFit="0" vertical="bottom" wrapText="0"/>
    </xf>
    <xf borderId="21" fillId="0" fontId="16" numFmtId="164" xfId="0" applyAlignment="1" applyBorder="1" applyFont="1" applyNumberFormat="1">
      <alignment horizontal="center" shrinkToFit="0" wrapText="0"/>
    </xf>
    <xf borderId="21" fillId="0" fontId="15" numFmtId="9" xfId="0" applyAlignment="1" applyBorder="1" applyFont="1" applyNumberFormat="1">
      <alignment vertical="bottom"/>
    </xf>
    <xf borderId="20" fillId="0" fontId="15" numFmtId="164" xfId="0" applyAlignment="1" applyBorder="1" applyFont="1" applyNumberFormat="1">
      <alignment horizontal="right" vertical="bottom"/>
    </xf>
    <xf borderId="0" fillId="0" fontId="18" numFmtId="9" xfId="0" applyAlignment="1" applyFont="1" applyNumberFormat="1">
      <alignment vertical="bottom"/>
    </xf>
    <xf borderId="21" fillId="0" fontId="16" numFmtId="3" xfId="0" applyAlignment="1" applyBorder="1" applyFont="1" applyNumberFormat="1">
      <alignment horizontal="right" shrinkToFit="0" wrapText="0"/>
    </xf>
    <xf borderId="0" fillId="0" fontId="16" numFmtId="9" xfId="0" applyAlignment="1" applyFont="1" applyNumberFormat="1">
      <alignment horizontal="right" shrinkToFit="0" wrapText="0"/>
    </xf>
    <xf borderId="23" fillId="0" fontId="15" numFmtId="9" xfId="0" applyAlignment="1" applyBorder="1" applyFont="1" applyNumberFormat="1">
      <alignment vertical="bottom"/>
    </xf>
    <xf borderId="17" fillId="0" fontId="15" numFmtId="4" xfId="0" applyAlignment="1" applyBorder="1" applyFont="1" applyNumberFormat="1">
      <alignment horizontal="right" vertical="bottom"/>
    </xf>
    <xf borderId="18" fillId="0" fontId="16" numFmtId="164" xfId="0" applyAlignment="1" applyBorder="1" applyFont="1" applyNumberFormat="1">
      <alignment horizontal="right" shrinkToFit="0" wrapText="0"/>
    </xf>
    <xf borderId="21" fillId="0" fontId="16" numFmtId="164" xfId="0" applyAlignment="1" applyBorder="1" applyFont="1" applyNumberFormat="1">
      <alignment horizontal="right" shrinkToFit="0" wrapText="0"/>
    </xf>
    <xf borderId="0" fillId="0" fontId="15" numFmtId="10" xfId="0" applyAlignment="1" applyFont="1" applyNumberFormat="1">
      <alignment vertical="bottom"/>
    </xf>
    <xf borderId="17" fillId="0" fontId="15" numFmtId="166" xfId="0" applyAlignment="1" applyBorder="1" applyFont="1" applyNumberFormat="1">
      <alignment horizontal="right" vertical="bottom"/>
    </xf>
    <xf borderId="17" fillId="0" fontId="15" numFmtId="9" xfId="0" applyAlignment="1" applyBorder="1" applyFont="1" applyNumberFormat="1">
      <alignment vertical="bottom"/>
    </xf>
    <xf borderId="23" fillId="8" fontId="15" numFmtId="0" xfId="0" applyAlignment="1" applyBorder="1" applyFont="1">
      <alignment vertical="bottom"/>
    </xf>
    <xf borderId="17" fillId="8" fontId="15" numFmtId="164" xfId="0" applyAlignment="1" applyBorder="1" applyFont="1" applyNumberFormat="1">
      <alignment horizontal="right" vertical="bottom"/>
    </xf>
    <xf borderId="18" fillId="8" fontId="16" numFmtId="164" xfId="0" applyAlignment="1" applyBorder="1" applyFont="1" applyNumberFormat="1">
      <alignment horizontal="right" shrinkToFit="0" wrapText="0"/>
    </xf>
    <xf borderId="21" fillId="8" fontId="16" numFmtId="164" xfId="0" applyAlignment="1" applyBorder="1" applyFont="1" applyNumberFormat="1">
      <alignment horizontal="right" shrinkToFit="0" wrapText="0"/>
    </xf>
    <xf borderId="21" fillId="0" fontId="16" numFmtId="164" xfId="0" applyAlignment="1" applyBorder="1" applyFont="1" applyNumberFormat="1">
      <alignment shrinkToFit="0" vertical="bottom" wrapText="0"/>
    </xf>
    <xf borderId="0" fillId="0" fontId="16" numFmtId="164" xfId="0" applyAlignment="1" applyFont="1" applyNumberFormat="1">
      <alignment horizontal="right" shrinkToFit="0" vertical="bottom" wrapText="0"/>
    </xf>
    <xf borderId="0" fillId="0" fontId="15" numFmtId="164" xfId="0" applyFont="1" applyNumberFormat="1"/>
    <xf borderId="10" fillId="15" fontId="16" numFmtId="0" xfId="0" applyAlignment="1" applyBorder="1" applyFill="1" applyFont="1">
      <alignment horizontal="center" shrinkToFit="0" vertical="center" wrapText="1"/>
    </xf>
    <xf borderId="18" fillId="15" fontId="15" numFmtId="0" xfId="0" applyBorder="1" applyFont="1"/>
    <xf borderId="18" fillId="4" fontId="15" numFmtId="4" xfId="0" applyBorder="1" applyFont="1" applyNumberFormat="1"/>
    <xf borderId="21" fillId="11" fontId="19" numFmtId="4" xfId="0" applyAlignment="1" applyBorder="1" applyFont="1" applyNumberFormat="1">
      <alignment shrinkToFit="0" wrapText="0"/>
    </xf>
    <xf borderId="21" fillId="8" fontId="16" numFmtId="0" xfId="0" applyAlignment="1" applyBorder="1" applyFont="1">
      <alignment horizontal="right" shrinkToFit="0" vertical="bottom" wrapText="0"/>
    </xf>
    <xf borderId="21" fillId="0" fontId="16" numFmtId="10" xfId="0" applyAlignment="1" applyBorder="1" applyFont="1" applyNumberFormat="1">
      <alignment horizontal="right" shrinkToFit="0" vertical="bottom" wrapText="0"/>
    </xf>
    <xf borderId="21" fillId="11" fontId="16" numFmtId="10" xfId="0" applyAlignment="1" applyBorder="1" applyFont="1" applyNumberFormat="1">
      <alignment horizontal="right"/>
    </xf>
    <xf borderId="10" fillId="10" fontId="16" numFmtId="0" xfId="0" applyAlignment="1" applyBorder="1" applyFont="1">
      <alignment horizontal="center" shrinkToFit="0" vertical="center" wrapText="1"/>
    </xf>
    <xf borderId="18" fillId="4" fontId="7" numFmtId="0" xfId="0" applyAlignment="1" applyBorder="1" applyFont="1">
      <alignment horizontal="center" vertical="center"/>
    </xf>
    <xf borderId="18" fillId="14" fontId="26" numFmtId="3" xfId="0" applyAlignment="1" applyBorder="1" applyFont="1" applyNumberFormat="1">
      <alignment shrinkToFit="0" wrapText="0"/>
    </xf>
    <xf borderId="18" fillId="10" fontId="27" numFmtId="0" xfId="0" applyAlignment="1" applyBorder="1" applyFont="1">
      <alignment horizontal="center" shrinkToFit="0" vertical="center" wrapText="1"/>
    </xf>
    <xf borderId="18" fillId="16" fontId="27" numFmtId="0" xfId="0" applyAlignment="1" applyBorder="1" applyFill="1" applyFont="1">
      <alignment horizontal="center" shrinkToFit="0" vertical="center" wrapText="1"/>
    </xf>
    <xf borderId="18" fillId="5" fontId="14" numFmtId="10" xfId="0" applyAlignment="1" applyBorder="1" applyFont="1" applyNumberFormat="1">
      <alignment horizontal="center" shrinkToFit="0" vertical="center" wrapText="1"/>
    </xf>
    <xf borderId="18" fillId="5" fontId="14" numFmtId="164" xfId="0" applyAlignment="1" applyBorder="1" applyFont="1" applyNumberFormat="1">
      <alignment horizontal="center" shrinkToFit="0" vertical="center" wrapText="1"/>
    </xf>
    <xf borderId="18" fillId="5" fontId="14" numFmtId="0" xfId="0" applyAlignment="1" applyBorder="1" applyFont="1">
      <alignment horizontal="center" shrinkToFit="0" vertical="center" wrapText="1"/>
    </xf>
    <xf borderId="18" fillId="5" fontId="28" numFmtId="164" xfId="0" applyAlignment="1" applyBorder="1" applyFont="1" applyNumberFormat="1">
      <alignment horizontal="center" shrinkToFit="0" vertical="center" wrapText="1"/>
    </xf>
    <xf borderId="0" fillId="0" fontId="27" numFmtId="0" xfId="0" applyAlignment="1" applyFont="1">
      <alignment vertical="bottom"/>
    </xf>
    <xf borderId="0" fillId="11" fontId="26" numFmtId="164" xfId="0" applyAlignment="1" applyFont="1" applyNumberFormat="1">
      <alignment shrinkToFit="0" wrapText="0"/>
    </xf>
    <xf borderId="0" fillId="0" fontId="27" numFmtId="164" xfId="0" applyAlignment="1" applyFont="1" applyNumberFormat="1">
      <alignment vertical="bottom"/>
    </xf>
    <xf borderId="0" fillId="0" fontId="27" numFmtId="164" xfId="0" applyAlignment="1" applyFont="1" applyNumberFormat="1">
      <alignment horizontal="right" vertical="bottom"/>
    </xf>
    <xf borderId="0" fillId="0" fontId="14" numFmtId="164" xfId="0" applyFont="1" applyNumberFormat="1"/>
    <xf borderId="18" fillId="10" fontId="27" numFmtId="0" xfId="0" applyAlignment="1" applyBorder="1" applyFont="1">
      <alignment horizontal="center" vertical="bottom"/>
    </xf>
    <xf borderId="21" fillId="0" fontId="27" numFmtId="0" xfId="0" applyAlignment="1" applyBorder="1" applyFont="1">
      <alignment horizontal="center" vertical="bottom"/>
    </xf>
    <xf borderId="21" fillId="0" fontId="27" numFmtId="164" xfId="0" applyAlignment="1" applyBorder="1" applyFont="1" applyNumberFormat="1">
      <alignment horizontal="center" vertical="bottom"/>
    </xf>
    <xf borderId="18" fillId="17" fontId="14" numFmtId="164" xfId="0" applyAlignment="1" applyBorder="1" applyFill="1" applyFont="1" applyNumberFormat="1">
      <alignment horizontal="center"/>
    </xf>
    <xf borderId="10" fillId="8" fontId="14" numFmtId="164" xfId="0" applyAlignment="1" applyBorder="1" applyFont="1" applyNumberFormat="1">
      <alignment horizontal="center" vertical="center"/>
    </xf>
    <xf borderId="21" fillId="11" fontId="29" numFmtId="0" xfId="0" applyAlignment="1" applyBorder="1" applyFont="1">
      <alignment horizontal="center"/>
    </xf>
    <xf borderId="21" fillId="9" fontId="27" numFmtId="0" xfId="0" applyAlignment="1" applyBorder="1" applyFont="1">
      <alignment horizontal="center" vertical="bottom"/>
    </xf>
    <xf borderId="21" fillId="9" fontId="27" numFmtId="164" xfId="0" applyAlignment="1" applyBorder="1" applyFont="1" applyNumberFormat="1">
      <alignment horizontal="center" vertical="bottom"/>
    </xf>
    <xf borderId="18" fillId="10" fontId="15" numFmtId="4" xfId="0" applyBorder="1" applyFont="1" applyNumberFormat="1"/>
    <xf borderId="21" fillId="0" fontId="15" numFmtId="9" xfId="0" applyBorder="1" applyFont="1" applyNumberFormat="1"/>
    <xf borderId="21" fillId="0" fontId="24" numFmtId="164" xfId="0" applyAlignment="1" applyBorder="1" applyFont="1" applyNumberFormat="1">
      <alignment readingOrder="0"/>
    </xf>
    <xf borderId="22" fillId="8" fontId="24" numFmtId="0" xfId="0" applyAlignment="1" applyBorder="1" applyFont="1">
      <alignment horizontal="center" readingOrder="0" vertical="center"/>
    </xf>
    <xf borderId="22" fillId="0" fontId="1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14</xdr:row>
      <xdr:rowOff>180975</xdr:rowOff>
    </xdr:from>
    <xdr:ext cx="1419225" cy="704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3</xdr:row>
      <xdr:rowOff>28575</xdr:rowOff>
    </xdr:from>
    <xdr:ext cx="2705100" cy="73818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15</xdr:row>
      <xdr:rowOff>152400</xdr:rowOff>
    </xdr:from>
    <xdr:ext cx="1905000" cy="8096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2628900" cy="75152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0</xdr:row>
      <xdr:rowOff>0</xdr:rowOff>
    </xdr:from>
    <xdr:ext cx="2781300" cy="7458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72.63"/>
    <col customWidth="1" min="3" max="6" width="9.13"/>
    <col customWidth="1" min="7" max="22" width="8.75"/>
    <col customWidth="1" min="23" max="26" width="14.38"/>
  </cols>
  <sheetData>
    <row r="1" ht="91.5" customHeight="1">
      <c r="A1" s="1" t="s">
        <v>0</v>
      </c>
      <c r="B1" s="2">
        <v>9.0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</v>
      </c>
      <c r="B2" s="5" t="str">
        <f>VLOOKUP(B1,'códigos'!A:B,2,1)</f>
        <v>DIONATAS SANTOS BRITO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28.5" customHeight="1">
      <c r="A3" s="6" t="s">
        <v>2</v>
      </c>
      <c r="B3" s="7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28.5" customHeight="1">
      <c r="A4" s="8"/>
      <c r="B4" s="9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8.5" customHeight="1">
      <c r="A5" s="8"/>
      <c r="B5" s="9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10"/>
      <c r="B6" s="9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1" t="s">
        <v>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3" t="s">
        <v>8</v>
      </c>
      <c r="B8" s="12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4" t="s">
        <v>10</v>
      </c>
      <c r="B9" s="15">
        <f>50000+B1*1000</f>
        <v>59000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6" t="s">
        <v>11</v>
      </c>
      <c r="B10" s="17">
        <v>2734.51567478478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11" t="s">
        <v>12</v>
      </c>
      <c r="B11" s="1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3" t="s">
        <v>8</v>
      </c>
      <c r="B12" s="12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4" t="s">
        <v>10</v>
      </c>
      <c r="B13" s="15">
        <f>1000+20*B1</f>
        <v>1180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16" t="s">
        <v>11</v>
      </c>
      <c r="B14" s="18" t="s">
        <v>14</v>
      </c>
      <c r="C14" s="19" t="s">
        <v>15</v>
      </c>
      <c r="D14" s="2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1" t="s">
        <v>16</v>
      </c>
      <c r="B15" s="1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3" t="s">
        <v>8</v>
      </c>
      <c r="B16" s="12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4" t="s">
        <v>18</v>
      </c>
      <c r="B17" s="21">
        <f>4%+B1/2000</f>
        <v>0.0445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6" t="s">
        <v>19</v>
      </c>
      <c r="B18" s="22">
        <v>0.00920210778713226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1" t="s">
        <v>20</v>
      </c>
      <c r="B19" s="1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3" t="s">
        <v>8</v>
      </c>
      <c r="B20" s="12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14" t="s">
        <v>10</v>
      </c>
      <c r="B21" s="15">
        <f>2000+B1*10</f>
        <v>2090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16" t="s">
        <v>11</v>
      </c>
      <c r="B22" s="17">
        <v>1483.08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11" t="s">
        <v>22</v>
      </c>
      <c r="B23" s="1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13" t="s">
        <v>8</v>
      </c>
      <c r="B24" s="12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23" t="s">
        <v>24</v>
      </c>
      <c r="B25" s="21">
        <f>0.6%+B1/20000</f>
        <v>0.00645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16" t="s">
        <v>11</v>
      </c>
      <c r="B26" s="24">
        <v>199545.41</v>
      </c>
      <c r="C26" s="19" t="s">
        <v>15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11" t="s">
        <v>25</v>
      </c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13" t="s">
        <v>8</v>
      </c>
      <c r="B28" s="12" t="s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14" t="s">
        <v>10</v>
      </c>
      <c r="B29" s="15">
        <f>2000+$B$1*10</f>
        <v>2090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16" t="s">
        <v>11</v>
      </c>
      <c r="B30" s="17">
        <v>63271.68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11" t="s">
        <v>27</v>
      </c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13" t="s">
        <v>8</v>
      </c>
      <c r="B32" s="12" t="s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14" t="s">
        <v>10</v>
      </c>
      <c r="B33" s="15">
        <f>100000+$B$1*1000</f>
        <v>109000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16" t="s">
        <v>11</v>
      </c>
      <c r="B34" s="17">
        <v>5144.57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11" t="s">
        <v>29</v>
      </c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13" t="s">
        <v>8</v>
      </c>
      <c r="B36" s="12" t="s">
        <v>30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14" t="s">
        <v>10</v>
      </c>
      <c r="B37" s="15">
        <f>2000+$B$1*10</f>
        <v>2090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16" t="s">
        <v>31</v>
      </c>
      <c r="B38" s="17">
        <v>176278.66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11" t="s">
        <v>32</v>
      </c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07.25" customHeight="1">
      <c r="A40" s="13" t="s">
        <v>8</v>
      </c>
      <c r="B40" s="12" t="s">
        <v>33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14" t="s">
        <v>10</v>
      </c>
      <c r="B41" s="15">
        <f>20000+$B$1*100</f>
        <v>20900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16" t="s">
        <v>11</v>
      </c>
      <c r="B42" s="17">
        <v>61959.46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11" t="s">
        <v>34</v>
      </c>
      <c r="B43" s="1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13" t="s">
        <v>8</v>
      </c>
      <c r="B44" s="12" t="s">
        <v>35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14" t="s">
        <v>36</v>
      </c>
      <c r="B45" s="15">
        <f>30000+B1*100</f>
        <v>30900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16" t="s">
        <v>11</v>
      </c>
      <c r="B46" s="24">
        <v>174981.89</v>
      </c>
      <c r="C46" s="19" t="s">
        <v>15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25"/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25"/>
      <c r="B48" s="2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25"/>
      <c r="B49" s="2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25"/>
      <c r="B50" s="2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25"/>
      <c r="B51" s="2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25"/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25"/>
      <c r="B53" s="2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25"/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25"/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25"/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25"/>
      <c r="B57" s="2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25"/>
      <c r="B58" s="2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25"/>
      <c r="B59" s="2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25"/>
      <c r="B60" s="2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25"/>
      <c r="B61" s="2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25"/>
      <c r="B62" s="2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25"/>
      <c r="B63" s="2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25"/>
      <c r="B64" s="2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25"/>
      <c r="B65" s="2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25"/>
      <c r="B66" s="2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25"/>
      <c r="B67" s="2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25"/>
      <c r="B68" s="2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25"/>
      <c r="B69" s="2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25"/>
      <c r="B70" s="2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25"/>
      <c r="B71" s="2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25"/>
      <c r="B72" s="2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25"/>
      <c r="B73" s="2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25"/>
      <c r="B74" s="2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25"/>
      <c r="B75" s="2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25"/>
      <c r="B76" s="2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25"/>
      <c r="B77" s="2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25"/>
      <c r="B78" s="2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25"/>
      <c r="B79" s="2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25"/>
      <c r="B80" s="2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25"/>
      <c r="B81" s="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25"/>
      <c r="B82" s="2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25"/>
      <c r="B83" s="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25"/>
      <c r="B84" s="2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25"/>
      <c r="B85" s="2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25"/>
      <c r="B86" s="2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25"/>
      <c r="B87" s="2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25"/>
      <c r="B88" s="2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25"/>
      <c r="B89" s="2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25"/>
      <c r="B90" s="2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25"/>
      <c r="B91" s="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25"/>
      <c r="B92" s="2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25"/>
      <c r="B93" s="2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25"/>
      <c r="B94" s="2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25"/>
      <c r="B95" s="2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25"/>
      <c r="B96" s="2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25"/>
      <c r="B97" s="2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25"/>
      <c r="B98" s="2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25"/>
      <c r="B99" s="2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25"/>
      <c r="B100" s="2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25"/>
      <c r="B101" s="2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25"/>
      <c r="B102" s="2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25"/>
      <c r="B103" s="2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25"/>
      <c r="B104" s="2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25"/>
      <c r="B105" s="2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25"/>
      <c r="B106" s="2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25"/>
      <c r="B107" s="2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25"/>
      <c r="B108" s="2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25"/>
      <c r="B109" s="2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25"/>
      <c r="B110" s="2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25"/>
      <c r="B111" s="2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25"/>
      <c r="B112" s="2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25"/>
      <c r="B113" s="2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25"/>
      <c r="B114" s="2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25"/>
      <c r="B115" s="2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25"/>
      <c r="B116" s="2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25"/>
      <c r="B117" s="2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25"/>
      <c r="B118" s="2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25"/>
      <c r="B119" s="2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25"/>
      <c r="B120" s="2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25"/>
      <c r="B121" s="2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25"/>
      <c r="B122" s="2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25"/>
      <c r="B123" s="2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25"/>
      <c r="B124" s="2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25"/>
      <c r="B125" s="2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25"/>
      <c r="B126" s="2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25"/>
      <c r="B127" s="2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25"/>
      <c r="B128" s="2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25"/>
      <c r="B129" s="2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25"/>
      <c r="B130" s="2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25"/>
      <c r="B131" s="2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25"/>
      <c r="B132" s="2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25"/>
      <c r="B133" s="2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25"/>
      <c r="B134" s="2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25"/>
      <c r="B135" s="2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25"/>
      <c r="B136" s="2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25"/>
      <c r="B137" s="2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25"/>
      <c r="B138" s="2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25"/>
      <c r="B139" s="2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25"/>
      <c r="B140" s="2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25"/>
      <c r="B141" s="2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25"/>
      <c r="B142" s="2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25"/>
      <c r="B143" s="2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25"/>
      <c r="B144" s="2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25"/>
      <c r="B145" s="2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25"/>
      <c r="B146" s="2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25"/>
      <c r="B147" s="2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25"/>
      <c r="B148" s="2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25"/>
      <c r="B149" s="2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25"/>
      <c r="B150" s="2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25"/>
      <c r="B151" s="2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25"/>
      <c r="B152" s="2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25"/>
      <c r="B153" s="2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25"/>
      <c r="B154" s="2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25"/>
      <c r="B155" s="2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25"/>
      <c r="B156" s="2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25"/>
      <c r="B157" s="2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25"/>
      <c r="B158" s="2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25"/>
      <c r="B159" s="2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25"/>
      <c r="B160" s="2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25"/>
      <c r="B161" s="2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25"/>
      <c r="B162" s="2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25"/>
      <c r="B163" s="2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25"/>
      <c r="B164" s="2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25"/>
      <c r="B165" s="2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25"/>
      <c r="B166" s="2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25"/>
      <c r="B167" s="2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25"/>
      <c r="B168" s="2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25"/>
      <c r="B169" s="2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25"/>
      <c r="B170" s="2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25"/>
      <c r="B171" s="2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25"/>
      <c r="B172" s="2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25"/>
      <c r="B173" s="2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25"/>
      <c r="B174" s="2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25"/>
      <c r="B175" s="2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25"/>
      <c r="B176" s="2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25"/>
      <c r="B177" s="2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25"/>
      <c r="B178" s="2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25"/>
      <c r="B179" s="2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25"/>
      <c r="B180" s="2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25"/>
      <c r="B181" s="2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25"/>
      <c r="B182" s="2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25"/>
      <c r="B183" s="2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25"/>
      <c r="B184" s="2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25"/>
      <c r="B185" s="2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25"/>
      <c r="B186" s="2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25"/>
      <c r="B187" s="2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25"/>
      <c r="B188" s="2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25"/>
      <c r="B189" s="2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25"/>
      <c r="B190" s="2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25"/>
      <c r="B191" s="2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25"/>
      <c r="B192" s="2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25"/>
      <c r="B193" s="2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25"/>
      <c r="B194" s="2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25"/>
      <c r="B195" s="2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25"/>
      <c r="B196" s="2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25"/>
      <c r="B197" s="2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25"/>
      <c r="B198" s="2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25"/>
      <c r="B199" s="2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25"/>
      <c r="B200" s="2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25"/>
      <c r="B201" s="2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25"/>
      <c r="B202" s="2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25"/>
      <c r="B203" s="2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25"/>
      <c r="B204" s="2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25"/>
      <c r="B205" s="2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25"/>
      <c r="B206" s="2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25"/>
      <c r="B207" s="2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25"/>
      <c r="B208" s="2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25"/>
      <c r="B209" s="2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25"/>
      <c r="B210" s="2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25"/>
      <c r="B211" s="2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25"/>
      <c r="B212" s="2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25"/>
      <c r="B213" s="2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25"/>
      <c r="B214" s="2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25"/>
      <c r="B215" s="2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25"/>
      <c r="B216" s="2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25"/>
      <c r="B217" s="2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25"/>
      <c r="B218" s="2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25"/>
      <c r="B219" s="2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25"/>
      <c r="B220" s="2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25"/>
      <c r="B221" s="2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25"/>
      <c r="B222" s="2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25"/>
      <c r="B223" s="2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25"/>
      <c r="B224" s="2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25"/>
      <c r="B225" s="2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25"/>
      <c r="B226" s="2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25"/>
      <c r="B227" s="2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25"/>
      <c r="B228" s="2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25"/>
      <c r="B229" s="2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25"/>
      <c r="B230" s="2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25"/>
      <c r="B231" s="2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25"/>
      <c r="B232" s="2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25"/>
      <c r="B233" s="2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25"/>
      <c r="B234" s="2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25"/>
      <c r="B235" s="2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25"/>
      <c r="B236" s="2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25"/>
      <c r="B237" s="2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25"/>
      <c r="B238" s="2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25"/>
      <c r="B239" s="2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25"/>
      <c r="B240" s="2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25"/>
      <c r="B241" s="2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25"/>
      <c r="B242" s="2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25"/>
      <c r="B243" s="2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25"/>
      <c r="B244" s="2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25"/>
      <c r="B245" s="2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25"/>
      <c r="B246" s="2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6"/>
  </mergeCells>
  <printOptions/>
  <pageMargins bottom="0.7874015748031497" footer="0.0" header="0.0" left="0.5118110236220472" right="0.5118110236220472" top="0.5905511811023623"/>
  <pageSetup paperSize="9" orientation="portrait"/>
  <rowBreaks count="1" manualBreakCount="1">
    <brk id="22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29.38"/>
    <col customWidth="1" min="5" max="7" width="14.38"/>
    <col customWidth="1" min="8" max="8" width="23.0"/>
    <col customWidth="1" min="9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34" t="s">
        <v>116</v>
      </c>
      <c r="E5" s="35"/>
      <c r="F5" s="35"/>
      <c r="G5" s="35"/>
      <c r="H5" s="35"/>
      <c r="I5" s="35"/>
      <c r="J5" s="35"/>
      <c r="K5" s="35"/>
      <c r="L5" s="35"/>
      <c r="M5" s="36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7"/>
      <c r="M6" s="38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7"/>
      <c r="M7" s="38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7"/>
      <c r="M8" s="38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7"/>
      <c r="M9" s="38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7"/>
      <c r="M10" s="3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7"/>
      <c r="M11" s="3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9"/>
      <c r="E12" s="40"/>
      <c r="F12" s="40"/>
      <c r="G12" s="40"/>
      <c r="H12" s="40"/>
      <c r="I12" s="40"/>
      <c r="J12" s="40"/>
      <c r="K12" s="40"/>
      <c r="L12" s="40"/>
      <c r="M12" s="41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63" t="s">
        <v>18</v>
      </c>
      <c r="E14" s="43"/>
      <c r="F14" s="43"/>
      <c r="G14" s="43"/>
      <c r="H14" s="44"/>
      <c r="I14" s="76">
        <v>0.0445</v>
      </c>
      <c r="J14" s="43"/>
      <c r="K14" s="43"/>
      <c r="L14" s="43"/>
      <c r="M14" s="44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77" t="s">
        <v>117</v>
      </c>
      <c r="E20" s="70">
        <v>0.0445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77" t="s">
        <v>118</v>
      </c>
      <c r="E21" s="78">
        <v>1800.0</v>
      </c>
      <c r="F21" s="33"/>
      <c r="G21" s="33"/>
      <c r="H21" s="69" t="s">
        <v>119</v>
      </c>
      <c r="I21" s="79">
        <f>PV(I22,E24,-E25)</f>
        <v>1719.900094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77" t="s">
        <v>120</v>
      </c>
      <c r="E22" s="69">
        <v>80.1</v>
      </c>
      <c r="F22" s="33"/>
      <c r="G22" s="33"/>
      <c r="H22" s="69" t="s">
        <v>121</v>
      </c>
      <c r="I22" s="80">
        <v>0.009202107787132263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77" t="s">
        <v>122</v>
      </c>
      <c r="E23" s="78">
        <f>E21-E22</f>
        <v>1719.9</v>
      </c>
      <c r="F23" s="33"/>
      <c r="G23" s="33"/>
      <c r="H23" s="33"/>
      <c r="I23" s="81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82" t="s">
        <v>123</v>
      </c>
      <c r="E24" s="83">
        <v>9.0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84" t="s">
        <v>124</v>
      </c>
      <c r="E25" s="85">
        <v>200.0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5:M12"/>
    <mergeCell ref="D14:H14"/>
    <mergeCell ref="I14:M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.75"/>
    <col customWidth="1" min="3" max="3" width="5.25"/>
    <col customWidth="1" min="4" max="4" width="32.38"/>
    <col customWidth="1" min="5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86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87" t="s">
        <v>125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7"/>
      <c r="O6" s="3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7"/>
      <c r="O7" s="3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7"/>
      <c r="O8" s="38"/>
      <c r="P8" s="33"/>
      <c r="Q8" s="88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7"/>
      <c r="O9" s="38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7"/>
      <c r="O10" s="38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7"/>
      <c r="O11" s="38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7"/>
      <c r="O12" s="38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63" t="s">
        <v>10</v>
      </c>
      <c r="E15" s="43"/>
      <c r="F15" s="43"/>
      <c r="G15" s="43"/>
      <c r="H15" s="43"/>
      <c r="I15" s="44"/>
      <c r="J15" s="89">
        <v>2090.0</v>
      </c>
      <c r="K15" s="43"/>
      <c r="L15" s="43"/>
      <c r="M15" s="43"/>
      <c r="N15" s="43"/>
      <c r="O15" s="44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90" t="s">
        <v>126</v>
      </c>
      <c r="F19" s="43"/>
      <c r="G19" s="44"/>
      <c r="H19" s="90" t="s">
        <v>127</v>
      </c>
      <c r="I19" s="43"/>
      <c r="J19" s="44"/>
      <c r="K19" s="33"/>
      <c r="L19" s="91" t="s">
        <v>128</v>
      </c>
      <c r="M19" s="36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92" t="s">
        <v>129</v>
      </c>
      <c r="E20" s="93">
        <f>E28*12</f>
        <v>12000</v>
      </c>
      <c r="F20" s="40"/>
      <c r="G20" s="41"/>
      <c r="H20" s="94">
        <f>E29*12</f>
        <v>25080</v>
      </c>
      <c r="I20" s="43"/>
      <c r="J20" s="44"/>
      <c r="K20" s="33"/>
      <c r="L20" s="37"/>
      <c r="M20" s="38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92" t="s">
        <v>130</v>
      </c>
      <c r="E21" s="94">
        <f>PV(E25,E26,,-PV(E25,12,-E28))</f>
        <v>11129.36726</v>
      </c>
      <c r="F21" s="43"/>
      <c r="G21" s="44"/>
      <c r="H21" s="95">
        <f>PV(E25,15,,-PV(E25,12,-E29))</f>
        <v>21139.28894</v>
      </c>
      <c r="I21" s="40"/>
      <c r="J21" s="41"/>
      <c r="K21" s="33"/>
      <c r="L21" s="39"/>
      <c r="M21" s="4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92" t="s">
        <v>131</v>
      </c>
      <c r="E22" s="94">
        <f>SUM(E21+H21)</f>
        <v>32268.6562</v>
      </c>
      <c r="F22" s="43"/>
      <c r="G22" s="43"/>
      <c r="H22" s="43"/>
      <c r="I22" s="43"/>
      <c r="J22" s="44"/>
      <c r="K22" s="33"/>
      <c r="L22" s="94">
        <f>PMT(E25,24,-E22)</f>
        <v>1483.084382</v>
      </c>
      <c r="M22" s="44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96" t="s">
        <v>113</v>
      </c>
      <c r="E25" s="70">
        <v>0.008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96" t="s">
        <v>132</v>
      </c>
      <c r="E26" s="69">
        <v>3.0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96" t="s">
        <v>108</v>
      </c>
      <c r="E27" s="69">
        <v>24.0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97" t="s">
        <v>133</v>
      </c>
      <c r="E28" s="69">
        <v>1000.0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97" t="s">
        <v>134</v>
      </c>
      <c r="E29" s="69">
        <v>2090.0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96" t="s">
        <v>128</v>
      </c>
      <c r="E30" s="71">
        <f>PMT(E25,24,-E22)</f>
        <v>1483.084382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20:G20"/>
    <mergeCell ref="E21:G21"/>
    <mergeCell ref="H21:J21"/>
    <mergeCell ref="E22:J22"/>
    <mergeCell ref="L22:M22"/>
    <mergeCell ref="D5:O13"/>
    <mergeCell ref="D15:I15"/>
    <mergeCell ref="J15:O15"/>
    <mergeCell ref="E19:G19"/>
    <mergeCell ref="H19:J19"/>
    <mergeCell ref="L19:M21"/>
    <mergeCell ref="H20:J2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98" t="s">
        <v>135</v>
      </c>
      <c r="D3" s="35"/>
      <c r="E3" s="35"/>
      <c r="F3" s="35"/>
      <c r="G3" s="35"/>
      <c r="H3" s="35"/>
      <c r="I3" s="35"/>
      <c r="J3" s="35"/>
      <c r="K3" s="35"/>
      <c r="L3" s="36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7"/>
      <c r="L4" s="38"/>
      <c r="M4" s="33"/>
      <c r="N4" s="33"/>
      <c r="O4" s="9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7"/>
      <c r="L5" s="38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7"/>
      <c r="L6" s="38"/>
      <c r="M6" s="33"/>
      <c r="N6" s="33"/>
      <c r="O6" s="8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7"/>
      <c r="L7" s="38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7"/>
      <c r="L8" s="38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7"/>
      <c r="L9" s="38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7"/>
      <c r="L10" s="38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7"/>
      <c r="L11" s="38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9"/>
      <c r="D12" s="40"/>
      <c r="E12" s="40"/>
      <c r="F12" s="40"/>
      <c r="G12" s="40"/>
      <c r="H12" s="40"/>
      <c r="I12" s="40"/>
      <c r="J12" s="40"/>
      <c r="K12" s="40"/>
      <c r="L12" s="4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42" t="s">
        <v>136</v>
      </c>
      <c r="D14" s="43"/>
      <c r="E14" s="43"/>
      <c r="F14" s="43"/>
      <c r="G14" s="44"/>
      <c r="H14" s="100">
        <v>0.00645</v>
      </c>
      <c r="I14" s="43"/>
      <c r="J14" s="43"/>
      <c r="K14" s="43"/>
      <c r="L14" s="4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101" t="s">
        <v>137</v>
      </c>
      <c r="D20" s="44"/>
      <c r="E20" s="70">
        <v>0.3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102" t="s">
        <v>138</v>
      </c>
      <c r="D21" s="102"/>
      <c r="E21" s="71">
        <f>E20*E23</f>
        <v>2400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101" t="s">
        <v>139</v>
      </c>
      <c r="D22" s="44"/>
      <c r="E22" s="69">
        <v>120.0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101" t="s">
        <v>140</v>
      </c>
      <c r="D23" s="44"/>
      <c r="E23" s="71">
        <v>8000.0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101" t="s">
        <v>141</v>
      </c>
      <c r="D24" s="44"/>
      <c r="E24" s="70">
        <v>0.0065</v>
      </c>
      <c r="F24" s="103"/>
      <c r="G24" s="103"/>
      <c r="H24" s="103"/>
      <c r="I24" s="103"/>
      <c r="J24" s="10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104" t="s">
        <v>142</v>
      </c>
      <c r="D25" s="44"/>
      <c r="E25" s="105">
        <f>PV(E24,E22,-E21)</f>
        <v>199545.4077</v>
      </c>
      <c r="F25" s="106" t="s">
        <v>143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25:D25"/>
    <mergeCell ref="F25:J25"/>
    <mergeCell ref="C3:L12"/>
    <mergeCell ref="C14:G14"/>
    <mergeCell ref="H14:L14"/>
    <mergeCell ref="C20:D20"/>
    <mergeCell ref="C22:D22"/>
    <mergeCell ref="C23:D23"/>
    <mergeCell ref="C24:D2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87" t="s">
        <v>144</v>
      </c>
      <c r="E5" s="35"/>
      <c r="F5" s="35"/>
      <c r="G5" s="35"/>
      <c r="H5" s="35"/>
      <c r="I5" s="35"/>
      <c r="J5" s="35"/>
      <c r="K5" s="35"/>
      <c r="L5" s="35"/>
      <c r="M5" s="36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7"/>
      <c r="M6" s="38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7"/>
      <c r="M7" s="38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7"/>
      <c r="M8" s="38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7"/>
      <c r="M9" s="38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7"/>
      <c r="M10" s="3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7"/>
      <c r="M11" s="3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7"/>
      <c r="M12" s="3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7"/>
      <c r="M13" s="3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9"/>
      <c r="E14" s="40"/>
      <c r="F14" s="40"/>
      <c r="G14" s="40"/>
      <c r="H14" s="40"/>
      <c r="I14" s="40"/>
      <c r="J14" s="40"/>
      <c r="K14" s="40"/>
      <c r="L14" s="40"/>
      <c r="M14" s="4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42" t="s">
        <v>10</v>
      </c>
      <c r="E16" s="43"/>
      <c r="F16" s="43"/>
      <c r="G16" s="43"/>
      <c r="H16" s="44"/>
      <c r="I16" s="107">
        <v>2090.0</v>
      </c>
      <c r="J16" s="43"/>
      <c r="K16" s="43"/>
      <c r="L16" s="43"/>
      <c r="M16" s="44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108" t="s">
        <v>145</v>
      </c>
      <c r="D21" s="109" t="s">
        <v>146</v>
      </c>
      <c r="E21" s="110" t="s">
        <v>147</v>
      </c>
      <c r="F21" s="110" t="s">
        <v>148</v>
      </c>
      <c r="G21" s="33"/>
      <c r="H21" s="109" t="s">
        <v>149</v>
      </c>
      <c r="I21" s="109" t="s">
        <v>150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31.5" customHeight="1">
      <c r="A22" s="33"/>
      <c r="B22" s="33"/>
      <c r="C22" s="52"/>
      <c r="D22" s="52"/>
      <c r="E22" s="52"/>
      <c r="F22" s="52"/>
      <c r="G22" s="33"/>
      <c r="H22" s="52"/>
      <c r="I22" s="5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8.75" customHeight="1">
      <c r="A23" s="33"/>
      <c r="B23" s="33"/>
      <c r="C23" s="111">
        <v>0.02</v>
      </c>
      <c r="D23" s="112">
        <v>36.0</v>
      </c>
      <c r="E23" s="113">
        <v>10000.0</v>
      </c>
      <c r="F23" s="113">
        <v>2090.0</v>
      </c>
      <c r="G23" s="33"/>
      <c r="H23" s="56">
        <f>PV(C23,D23,-F23)</f>
        <v>53271.68079</v>
      </c>
      <c r="I23" s="56">
        <f>H23+E23</f>
        <v>63271.68079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114"/>
      <c r="D24" s="115"/>
      <c r="E24" s="115"/>
      <c r="F24" s="115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115"/>
      <c r="E25" s="115"/>
      <c r="F25" s="115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115"/>
      <c r="E26" s="115"/>
      <c r="F26" s="11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21:H22"/>
    <mergeCell ref="I21:I22"/>
    <mergeCell ref="D5:M14"/>
    <mergeCell ref="D16:H16"/>
    <mergeCell ref="I16:M16"/>
    <mergeCell ref="C21:C22"/>
    <mergeCell ref="D21:D22"/>
    <mergeCell ref="E21:E22"/>
    <mergeCell ref="F21:F2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6" width="14.38"/>
    <col customWidth="1" min="17" max="17" width="37.0"/>
    <col customWidth="1" min="18" max="18" width="22.63"/>
    <col customWidth="1" min="19" max="26" width="14.38"/>
  </cols>
  <sheetData>
    <row r="1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4"/>
      <c r="B3" s="114"/>
      <c r="C3" s="114"/>
      <c r="D3" s="117" t="s">
        <v>151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14"/>
      <c r="B4" s="114"/>
      <c r="C4" s="114"/>
      <c r="D4" s="37"/>
      <c r="Q4" s="38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14"/>
      <c r="B5" s="114"/>
      <c r="C5" s="114"/>
      <c r="D5" s="37"/>
      <c r="Q5" s="38"/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14"/>
      <c r="B6" s="114"/>
      <c r="C6" s="114"/>
      <c r="D6" s="37"/>
      <c r="Q6" s="38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14"/>
      <c r="B7" s="114"/>
      <c r="C7" s="114"/>
      <c r="D7" s="37"/>
      <c r="Q7" s="38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14"/>
      <c r="B8" s="114"/>
      <c r="C8" s="114"/>
      <c r="D8" s="37"/>
      <c r="Q8" s="38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14"/>
      <c r="B9" s="114"/>
      <c r="C9" s="114"/>
      <c r="D9" s="37"/>
      <c r="Q9" s="38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14"/>
      <c r="B10" s="114"/>
      <c r="C10" s="114"/>
      <c r="D10" s="37"/>
      <c r="Q10" s="38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14"/>
      <c r="B11" s="114"/>
      <c r="C11" s="114"/>
      <c r="D11" s="37"/>
      <c r="Q11" s="38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14"/>
      <c r="B12" s="114"/>
      <c r="C12" s="114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14"/>
      <c r="B13" s="114"/>
      <c r="C13" s="114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14"/>
      <c r="B14" s="114"/>
      <c r="C14" s="114"/>
      <c r="D14" s="118" t="s">
        <v>10</v>
      </c>
      <c r="E14" s="43"/>
      <c r="F14" s="43"/>
      <c r="G14" s="43"/>
      <c r="H14" s="43"/>
      <c r="I14" s="43"/>
      <c r="J14" s="44"/>
      <c r="K14" s="119">
        <v>109000.0</v>
      </c>
      <c r="L14" s="43"/>
      <c r="M14" s="43"/>
      <c r="N14" s="43"/>
      <c r="O14" s="43"/>
      <c r="P14" s="43"/>
      <c r="Q14" s="4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14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14"/>
      <c r="B17" s="114"/>
      <c r="C17" s="114"/>
      <c r="D17" s="114"/>
      <c r="E17" s="114"/>
      <c r="F17" s="114"/>
      <c r="G17" s="114"/>
      <c r="H17" s="114"/>
      <c r="I17" s="120" t="s">
        <v>152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14"/>
      <c r="B18" s="114"/>
      <c r="C18" s="114"/>
      <c r="D18" s="114"/>
      <c r="E18" s="33" t="s">
        <v>153</v>
      </c>
      <c r="F18" s="114"/>
      <c r="G18" s="114"/>
      <c r="H18" s="114"/>
      <c r="I18" s="52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14"/>
      <c r="B19" s="121" t="s">
        <v>154</v>
      </c>
      <c r="C19" s="122">
        <v>1000.0</v>
      </c>
      <c r="D19" s="123"/>
      <c r="E19" s="123"/>
      <c r="F19" s="123"/>
      <c r="G19" s="123"/>
      <c r="H19" s="123"/>
      <c r="I19" s="120" t="s">
        <v>155</v>
      </c>
      <c r="J19" s="123"/>
      <c r="K19" s="123"/>
      <c r="L19" s="123"/>
      <c r="M19" s="123"/>
      <c r="N19" s="123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14"/>
      <c r="B20" s="121" t="s">
        <v>156</v>
      </c>
      <c r="C20" s="124">
        <v>0.016</v>
      </c>
      <c r="D20" s="121" t="s">
        <v>157</v>
      </c>
      <c r="E20" s="123"/>
      <c r="F20" s="123"/>
      <c r="G20" s="123"/>
      <c r="H20" s="123"/>
      <c r="I20" s="52"/>
      <c r="J20" s="123"/>
      <c r="K20" s="123"/>
      <c r="L20" s="123"/>
      <c r="M20" s="123"/>
      <c r="N20" s="123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ht="15.75" customHeight="1">
      <c r="A21" s="114"/>
      <c r="B21" s="125" t="s">
        <v>158</v>
      </c>
      <c r="C21" s="126">
        <v>0.004</v>
      </c>
      <c r="D21" s="127" t="s">
        <v>157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14"/>
      <c r="P21" s="114"/>
      <c r="Q21" s="114"/>
      <c r="R21" s="114"/>
      <c r="S21" s="114"/>
      <c r="T21" s="114"/>
      <c r="U21" s="114"/>
      <c r="V21" s="114"/>
      <c r="W21" s="33"/>
      <c r="X21" s="33"/>
      <c r="Y21" s="33"/>
      <c r="Z21" s="33"/>
    </row>
    <row r="22" ht="15.75" customHeight="1">
      <c r="A22" s="123"/>
      <c r="B22" s="123"/>
      <c r="C22" s="123"/>
      <c r="D22" s="123"/>
      <c r="E22" s="12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33"/>
      <c r="X22" s="33"/>
      <c r="Y22" s="33"/>
      <c r="Z22" s="33"/>
    </row>
    <row r="23" ht="15.75" customHeight="1">
      <c r="A23" s="123"/>
      <c r="B23" s="128" t="s">
        <v>159</v>
      </c>
      <c r="C23" s="128" t="s">
        <v>160</v>
      </c>
      <c r="D23" s="129" t="s">
        <v>161</v>
      </c>
      <c r="E23" s="128" t="s">
        <v>162</v>
      </c>
      <c r="F23" s="114"/>
      <c r="G23" s="130" t="s">
        <v>163</v>
      </c>
      <c r="H23" s="43"/>
      <c r="I23" s="43"/>
      <c r="J23" s="44"/>
      <c r="K23" s="123"/>
      <c r="L23" s="130" t="s">
        <v>164</v>
      </c>
      <c r="M23" s="43"/>
      <c r="N23" s="43"/>
      <c r="O23" s="43"/>
      <c r="P23" s="114"/>
      <c r="Q23" s="114"/>
      <c r="R23" s="114"/>
      <c r="S23" s="131"/>
      <c r="T23" s="131"/>
      <c r="U23" s="114"/>
      <c r="V23" s="114"/>
      <c r="W23" s="33"/>
      <c r="X23" s="33"/>
      <c r="Y23" s="33"/>
      <c r="Z23" s="33"/>
    </row>
    <row r="24" ht="36.0" customHeight="1">
      <c r="A24" s="123"/>
      <c r="B24" s="132">
        <v>0.0</v>
      </c>
      <c r="C24" s="133" t="s">
        <v>165</v>
      </c>
      <c r="D24" s="134">
        <v>0.0</v>
      </c>
      <c r="E24" s="135">
        <v>109000.0</v>
      </c>
      <c r="F24" s="114"/>
      <c r="G24" s="136" t="s">
        <v>166</v>
      </c>
      <c r="H24" s="136" t="s">
        <v>167</v>
      </c>
      <c r="I24" s="136" t="s">
        <v>168</v>
      </c>
      <c r="J24" s="136" t="s">
        <v>169</v>
      </c>
      <c r="K24" s="137"/>
      <c r="L24" s="136" t="s">
        <v>166</v>
      </c>
      <c r="M24" s="138" t="s">
        <v>167</v>
      </c>
      <c r="N24" s="136" t="s">
        <v>168</v>
      </c>
      <c r="O24" s="136" t="s">
        <v>169</v>
      </c>
      <c r="P24" s="114"/>
      <c r="Q24" s="114"/>
      <c r="R24" s="114"/>
      <c r="S24" s="131"/>
      <c r="T24" s="131"/>
      <c r="U24" s="114"/>
      <c r="V24" s="114"/>
      <c r="W24" s="33"/>
      <c r="X24" s="33"/>
      <c r="Y24" s="33"/>
      <c r="Z24" s="33"/>
    </row>
    <row r="25" ht="15.75" customHeight="1">
      <c r="A25" s="123"/>
      <c r="B25" s="132">
        <v>1.0</v>
      </c>
      <c r="C25" s="134">
        <f t="shared" ref="C25:C51" si="1">$C$21</f>
        <v>0.004</v>
      </c>
      <c r="D25" s="134">
        <f t="shared" ref="D25:D51" si="2">((1+D24)*(1+C25)-1)</f>
        <v>0.004</v>
      </c>
      <c r="E25" s="123"/>
      <c r="F25" s="114"/>
      <c r="G25" s="135">
        <v>0.0</v>
      </c>
      <c r="H25" s="139">
        <v>0.0</v>
      </c>
      <c r="I25" s="140">
        <v>21800.0</v>
      </c>
      <c r="J25" s="135">
        <f>$E$24-I25</f>
        <v>87200</v>
      </c>
      <c r="K25" s="141"/>
      <c r="L25" s="135" t="s">
        <v>170</v>
      </c>
      <c r="M25" s="142" t="s">
        <v>170</v>
      </c>
      <c r="N25" s="140">
        <v>21800.0</v>
      </c>
      <c r="O25" s="135">
        <f>E24-N25</f>
        <v>87200</v>
      </c>
      <c r="P25" s="114"/>
      <c r="Q25" s="114"/>
      <c r="R25" s="114"/>
      <c r="S25" s="131"/>
      <c r="T25" s="131"/>
      <c r="U25" s="114"/>
      <c r="V25" s="114"/>
      <c r="W25" s="33"/>
      <c r="X25" s="33"/>
      <c r="Y25" s="33"/>
      <c r="Z25" s="33"/>
    </row>
    <row r="26" ht="15.75" customHeight="1">
      <c r="A26" s="123"/>
      <c r="B26" s="132">
        <v>2.0</v>
      </c>
      <c r="C26" s="134">
        <f t="shared" si="1"/>
        <v>0.004</v>
      </c>
      <c r="D26" s="134">
        <f t="shared" si="2"/>
        <v>0.008016</v>
      </c>
      <c r="E26" s="123"/>
      <c r="F26" s="114"/>
      <c r="G26" s="143">
        <f t="shared" ref="G26:G52" si="3">(J25*$C$20)</f>
        <v>1395.2</v>
      </c>
      <c r="H26" s="135">
        <f t="shared" ref="H26:H52" si="4">(J25+G26)</f>
        <v>88595.2</v>
      </c>
      <c r="I26" s="142">
        <v>0.0</v>
      </c>
      <c r="J26" s="135">
        <f t="shared" ref="J26:J28" si="5">H26</f>
        <v>88595.2</v>
      </c>
      <c r="K26" s="141"/>
      <c r="L26" s="143">
        <f t="shared" ref="L26:L52" si="6">G26*(1+D25)</f>
        <v>1400.7808</v>
      </c>
      <c r="M26" s="142" t="s">
        <v>170</v>
      </c>
      <c r="N26" s="142" t="s">
        <v>170</v>
      </c>
      <c r="O26" s="135">
        <f t="shared" ref="O26:O52" si="7">J26*(D25+1)</f>
        <v>88949.5808</v>
      </c>
      <c r="P26" s="114"/>
      <c r="Q26" s="114"/>
      <c r="R26" s="114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123"/>
      <c r="B27" s="132">
        <v>3.0</v>
      </c>
      <c r="C27" s="134">
        <f t="shared" si="1"/>
        <v>0.004</v>
      </c>
      <c r="D27" s="134">
        <f t="shared" si="2"/>
        <v>0.012048064</v>
      </c>
      <c r="E27" s="123"/>
      <c r="F27" s="114"/>
      <c r="G27" s="143">
        <f t="shared" si="3"/>
        <v>1417.5232</v>
      </c>
      <c r="H27" s="135">
        <f t="shared" si="4"/>
        <v>90012.7232</v>
      </c>
      <c r="I27" s="142">
        <v>0.0</v>
      </c>
      <c r="J27" s="135">
        <f t="shared" si="5"/>
        <v>90012.7232</v>
      </c>
      <c r="K27" s="141"/>
      <c r="L27" s="143">
        <f t="shared" si="6"/>
        <v>1428.886066</v>
      </c>
      <c r="M27" s="135">
        <f t="shared" ref="M27:M52" si="8">H27*(D26+1)</f>
        <v>90734.26519</v>
      </c>
      <c r="N27" s="142" t="s">
        <v>170</v>
      </c>
      <c r="O27" s="135">
        <f t="shared" si="7"/>
        <v>90734.26519</v>
      </c>
      <c r="P27" s="114"/>
      <c r="Q27" s="144" t="s">
        <v>171</v>
      </c>
      <c r="R27" s="145">
        <v>109000.0</v>
      </c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146"/>
      <c r="B28" s="147">
        <v>4.0</v>
      </c>
      <c r="C28" s="134">
        <f t="shared" si="1"/>
        <v>0.004</v>
      </c>
      <c r="D28" s="134">
        <f t="shared" si="2"/>
        <v>0.01609625626</v>
      </c>
      <c r="E28" s="148"/>
      <c r="F28" s="114"/>
      <c r="G28" s="143">
        <f t="shared" si="3"/>
        <v>1440.203571</v>
      </c>
      <c r="H28" s="135">
        <f t="shared" si="4"/>
        <v>91452.92677</v>
      </c>
      <c r="I28" s="142">
        <v>0.0</v>
      </c>
      <c r="J28" s="135">
        <f t="shared" si="5"/>
        <v>91452.92677</v>
      </c>
      <c r="K28" s="141"/>
      <c r="L28" s="143">
        <f t="shared" si="6"/>
        <v>1457.555236</v>
      </c>
      <c r="M28" s="135">
        <f t="shared" si="8"/>
        <v>92554.75749</v>
      </c>
      <c r="N28" s="142" t="s">
        <v>170</v>
      </c>
      <c r="O28" s="135">
        <f t="shared" si="7"/>
        <v>92554.75749</v>
      </c>
      <c r="P28" s="114"/>
      <c r="Q28" s="149" t="s">
        <v>95</v>
      </c>
      <c r="R28" s="150">
        <f>20%*R27</f>
        <v>21800</v>
      </c>
      <c r="S28" s="131"/>
      <c r="T28" s="131"/>
      <c r="U28" s="114"/>
      <c r="V28" s="114"/>
      <c r="W28" s="33"/>
      <c r="X28" s="33"/>
      <c r="Y28" s="33"/>
      <c r="Z28" s="33"/>
    </row>
    <row r="29" ht="15.75" customHeight="1">
      <c r="A29" s="123"/>
      <c r="B29" s="132">
        <v>5.0</v>
      </c>
      <c r="C29" s="134">
        <f t="shared" si="1"/>
        <v>0.004</v>
      </c>
      <c r="D29" s="134">
        <f t="shared" si="2"/>
        <v>0.02016064128</v>
      </c>
      <c r="E29" s="123"/>
      <c r="F29" s="114"/>
      <c r="G29" s="143">
        <f t="shared" si="3"/>
        <v>1463.246828</v>
      </c>
      <c r="H29" s="135">
        <f t="shared" si="4"/>
        <v>92916.1736</v>
      </c>
      <c r="I29" s="151">
        <f t="shared" ref="I29:I52" si="9">PMT($C$20,24,-$H$28)</f>
        <v>4618.90697</v>
      </c>
      <c r="J29" s="135">
        <f t="shared" ref="J29:J52" si="10">H29-I29</f>
        <v>88297.26663</v>
      </c>
      <c r="K29" s="141"/>
      <c r="L29" s="143">
        <f t="shared" si="6"/>
        <v>1486.799624</v>
      </c>
      <c r="M29" s="135">
        <f t="shared" si="8"/>
        <v>94411.77614</v>
      </c>
      <c r="N29" s="152">
        <f t="shared" ref="N29:N53" si="11">I29*(D28+1)</f>
        <v>4693.25408</v>
      </c>
      <c r="O29" s="135">
        <f t="shared" si="7"/>
        <v>89718.52206</v>
      </c>
      <c r="P29" s="114"/>
      <c r="Q29" s="149" t="s">
        <v>172</v>
      </c>
      <c r="R29" s="150">
        <v>24.0</v>
      </c>
      <c r="S29" s="131"/>
      <c r="T29" s="131"/>
      <c r="U29" s="114"/>
      <c r="V29" s="114"/>
      <c r="W29" s="33"/>
      <c r="X29" s="33"/>
      <c r="Y29" s="33"/>
      <c r="Z29" s="33"/>
    </row>
    <row r="30" ht="15.75" customHeight="1">
      <c r="A30" s="123"/>
      <c r="B30" s="132">
        <v>6.0</v>
      </c>
      <c r="C30" s="134">
        <f t="shared" si="1"/>
        <v>0.004</v>
      </c>
      <c r="D30" s="134">
        <f t="shared" si="2"/>
        <v>0.02424128385</v>
      </c>
      <c r="E30" s="123"/>
      <c r="F30" s="33"/>
      <c r="G30" s="143">
        <f t="shared" si="3"/>
        <v>1412.756266</v>
      </c>
      <c r="H30" s="135">
        <f t="shared" si="4"/>
        <v>89710.0229</v>
      </c>
      <c r="I30" s="151">
        <f t="shared" si="9"/>
        <v>4618.90697</v>
      </c>
      <c r="J30" s="135">
        <f t="shared" si="10"/>
        <v>85091.11593</v>
      </c>
      <c r="K30" s="141"/>
      <c r="L30" s="143">
        <f t="shared" si="6"/>
        <v>1441.238338</v>
      </c>
      <c r="M30" s="135">
        <f t="shared" si="8"/>
        <v>91518.63449</v>
      </c>
      <c r="N30" s="152">
        <f t="shared" si="11"/>
        <v>4712.027097</v>
      </c>
      <c r="O30" s="135">
        <f t="shared" si="7"/>
        <v>86806.60739</v>
      </c>
      <c r="P30" s="114"/>
      <c r="Q30" s="149" t="s">
        <v>173</v>
      </c>
      <c r="R30" s="150">
        <v>3.0</v>
      </c>
      <c r="S30" s="153"/>
      <c r="T30" s="131"/>
      <c r="U30" s="114"/>
      <c r="V30" s="114"/>
      <c r="W30" s="33"/>
      <c r="X30" s="33"/>
      <c r="Y30" s="33"/>
      <c r="Z30" s="33"/>
    </row>
    <row r="31" ht="15.75" customHeight="1">
      <c r="A31" s="123"/>
      <c r="B31" s="132">
        <v>7.0</v>
      </c>
      <c r="C31" s="134">
        <f t="shared" si="1"/>
        <v>0.004</v>
      </c>
      <c r="D31" s="134">
        <f t="shared" si="2"/>
        <v>0.02833824898</v>
      </c>
      <c r="E31" s="123"/>
      <c r="F31" s="114"/>
      <c r="G31" s="143">
        <f t="shared" si="3"/>
        <v>1361.457855</v>
      </c>
      <c r="H31" s="135">
        <f t="shared" si="4"/>
        <v>86452.57378</v>
      </c>
      <c r="I31" s="151">
        <f t="shared" si="9"/>
        <v>4618.90697</v>
      </c>
      <c r="J31" s="135">
        <f t="shared" si="10"/>
        <v>81833.66681</v>
      </c>
      <c r="K31" s="141"/>
      <c r="L31" s="143">
        <f t="shared" si="6"/>
        <v>1394.461341</v>
      </c>
      <c r="M31" s="135">
        <f t="shared" si="8"/>
        <v>88548.29516</v>
      </c>
      <c r="N31" s="152">
        <f t="shared" si="11"/>
        <v>4730.875205</v>
      </c>
      <c r="O31" s="135">
        <f t="shared" si="7"/>
        <v>83817.41996</v>
      </c>
      <c r="P31" s="114"/>
      <c r="Q31" s="149" t="s">
        <v>174</v>
      </c>
      <c r="R31" s="154">
        <v>0.016</v>
      </c>
      <c r="S31" s="114"/>
      <c r="T31" s="114"/>
      <c r="U31" s="114"/>
      <c r="V31" s="114"/>
      <c r="W31" s="33"/>
      <c r="X31" s="33"/>
      <c r="Y31" s="33"/>
      <c r="Z31" s="33"/>
    </row>
    <row r="32" ht="15.75" customHeight="1">
      <c r="A32" s="123"/>
      <c r="B32" s="132">
        <v>8.0</v>
      </c>
      <c r="C32" s="134">
        <f t="shared" si="1"/>
        <v>0.004</v>
      </c>
      <c r="D32" s="134">
        <f t="shared" si="2"/>
        <v>0.03245160198</v>
      </c>
      <c r="E32" s="123"/>
      <c r="F32" s="114"/>
      <c r="G32" s="143">
        <f t="shared" si="3"/>
        <v>1309.338669</v>
      </c>
      <c r="H32" s="135">
        <f t="shared" si="4"/>
        <v>83143.00548</v>
      </c>
      <c r="I32" s="151">
        <f t="shared" si="9"/>
        <v>4618.90697</v>
      </c>
      <c r="J32" s="135">
        <f t="shared" si="10"/>
        <v>78524.09851</v>
      </c>
      <c r="K32" s="141"/>
      <c r="L32" s="143">
        <f t="shared" si="6"/>
        <v>1346.443034</v>
      </c>
      <c r="M32" s="135">
        <f t="shared" si="8"/>
        <v>85499.13267</v>
      </c>
      <c r="N32" s="152">
        <f t="shared" si="11"/>
        <v>4749.798706</v>
      </c>
      <c r="O32" s="135">
        <f t="shared" si="7"/>
        <v>80749.33396</v>
      </c>
      <c r="P32" s="114"/>
      <c r="Q32" s="149" t="s">
        <v>175</v>
      </c>
      <c r="R32" s="154">
        <v>0.004</v>
      </c>
      <c r="S32" s="114"/>
      <c r="T32" s="114"/>
      <c r="U32" s="114"/>
      <c r="V32" s="114"/>
      <c r="W32" s="114"/>
      <c r="X32" s="114"/>
      <c r="Y32" s="114"/>
      <c r="Z32" s="114"/>
    </row>
    <row r="33" ht="15.75" customHeight="1">
      <c r="A33" s="123"/>
      <c r="B33" s="132">
        <v>9.0</v>
      </c>
      <c r="C33" s="134">
        <f t="shared" si="1"/>
        <v>0.004</v>
      </c>
      <c r="D33" s="134">
        <f t="shared" si="2"/>
        <v>0.03658140839</v>
      </c>
      <c r="E33" s="123"/>
      <c r="F33" s="114"/>
      <c r="G33" s="143">
        <f t="shared" si="3"/>
        <v>1256.385576</v>
      </c>
      <c r="H33" s="135">
        <f t="shared" si="4"/>
        <v>79780.48409</v>
      </c>
      <c r="I33" s="151">
        <f t="shared" si="9"/>
        <v>4618.90697</v>
      </c>
      <c r="J33" s="135">
        <f t="shared" si="10"/>
        <v>75161.57712</v>
      </c>
      <c r="K33" s="141"/>
      <c r="L33" s="143">
        <f t="shared" si="6"/>
        <v>1297.157301</v>
      </c>
      <c r="M33" s="135">
        <f t="shared" si="8"/>
        <v>82369.4886</v>
      </c>
      <c r="N33" s="152">
        <f t="shared" si="11"/>
        <v>4768.797901</v>
      </c>
      <c r="O33" s="135">
        <f t="shared" si="7"/>
        <v>77600.6907</v>
      </c>
      <c r="P33" s="114"/>
      <c r="Q33" s="149"/>
      <c r="R33" s="155"/>
      <c r="S33" s="114"/>
      <c r="T33" s="114"/>
      <c r="U33" s="114"/>
      <c r="V33" s="114"/>
      <c r="W33" s="114"/>
      <c r="X33" s="114"/>
      <c r="Y33" s="114"/>
      <c r="Z33" s="114"/>
    </row>
    <row r="34" ht="15.75" customHeight="1">
      <c r="A34" s="123"/>
      <c r="B34" s="132">
        <v>10.0</v>
      </c>
      <c r="C34" s="134">
        <f t="shared" si="1"/>
        <v>0.004</v>
      </c>
      <c r="D34" s="134">
        <f t="shared" si="2"/>
        <v>0.04072773402</v>
      </c>
      <c r="E34" s="123"/>
      <c r="F34" s="114"/>
      <c r="G34" s="143">
        <f t="shared" si="3"/>
        <v>1202.585234</v>
      </c>
      <c r="H34" s="135">
        <f t="shared" si="4"/>
        <v>76364.16235</v>
      </c>
      <c r="I34" s="151">
        <f t="shared" si="9"/>
        <v>4618.90697</v>
      </c>
      <c r="J34" s="135">
        <f t="shared" si="10"/>
        <v>71745.25538</v>
      </c>
      <c r="K34" s="141"/>
      <c r="L34" s="143">
        <f t="shared" si="6"/>
        <v>1246.577495</v>
      </c>
      <c r="M34" s="135">
        <f t="shared" si="8"/>
        <v>79157.67096</v>
      </c>
      <c r="N34" s="152">
        <f t="shared" si="11"/>
        <v>4787.873092</v>
      </c>
      <c r="O34" s="135">
        <f t="shared" si="7"/>
        <v>74369.79787</v>
      </c>
      <c r="P34" s="114"/>
      <c r="Q34" s="156" t="s">
        <v>176</v>
      </c>
      <c r="R34" s="157">
        <f>N52</f>
        <v>5144.574503</v>
      </c>
      <c r="S34" s="114"/>
      <c r="T34" s="114"/>
      <c r="U34" s="114"/>
      <c r="V34" s="114"/>
      <c r="W34" s="114"/>
      <c r="X34" s="114"/>
      <c r="Y34" s="114"/>
      <c r="Z34" s="114"/>
    </row>
    <row r="35" ht="15.75" customHeight="1">
      <c r="A35" s="123"/>
      <c r="B35" s="132">
        <v>11.0</v>
      </c>
      <c r="C35" s="134">
        <f t="shared" si="1"/>
        <v>0.004</v>
      </c>
      <c r="D35" s="134">
        <f t="shared" si="2"/>
        <v>0.04489064495</v>
      </c>
      <c r="E35" s="123"/>
      <c r="F35" s="114"/>
      <c r="G35" s="143">
        <f t="shared" si="3"/>
        <v>1147.924086</v>
      </c>
      <c r="H35" s="135">
        <f t="shared" si="4"/>
        <v>72893.17947</v>
      </c>
      <c r="I35" s="151">
        <f t="shared" si="9"/>
        <v>4618.90697</v>
      </c>
      <c r="J35" s="135">
        <f t="shared" si="10"/>
        <v>68274.2725</v>
      </c>
      <c r="K35" s="141"/>
      <c r="L35" s="143">
        <f t="shared" si="6"/>
        <v>1194.676433</v>
      </c>
      <c r="M35" s="135">
        <f t="shared" si="8"/>
        <v>75861.95349</v>
      </c>
      <c r="N35" s="152">
        <f t="shared" si="11"/>
        <v>4807.024585</v>
      </c>
      <c r="O35" s="135">
        <f t="shared" si="7"/>
        <v>71054.92891</v>
      </c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ht="15.75" customHeight="1">
      <c r="A36" s="123"/>
      <c r="B36" s="132">
        <v>12.0</v>
      </c>
      <c r="C36" s="134">
        <f t="shared" si="1"/>
        <v>0.004</v>
      </c>
      <c r="D36" s="134">
        <f t="shared" si="2"/>
        <v>0.04907020753</v>
      </c>
      <c r="E36" s="123"/>
      <c r="F36" s="114"/>
      <c r="G36" s="143">
        <f t="shared" si="3"/>
        <v>1092.38836</v>
      </c>
      <c r="H36" s="135">
        <f t="shared" si="4"/>
        <v>69366.66085</v>
      </c>
      <c r="I36" s="151">
        <f t="shared" si="9"/>
        <v>4618.90697</v>
      </c>
      <c r="J36" s="135">
        <f t="shared" si="10"/>
        <v>64747.75388</v>
      </c>
      <c r="K36" s="141"/>
      <c r="L36" s="143">
        <f t="shared" si="6"/>
        <v>1141.426378</v>
      </c>
      <c r="M36" s="135">
        <f t="shared" si="8"/>
        <v>72480.575</v>
      </c>
      <c r="N36" s="152">
        <f t="shared" si="11"/>
        <v>4826.252683</v>
      </c>
      <c r="O36" s="135">
        <f t="shared" si="7"/>
        <v>67654.32232</v>
      </c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ht="15.75" customHeight="1">
      <c r="A37" s="123"/>
      <c r="B37" s="132">
        <v>13.0</v>
      </c>
      <c r="C37" s="134">
        <f t="shared" si="1"/>
        <v>0.004</v>
      </c>
      <c r="D37" s="134">
        <f t="shared" si="2"/>
        <v>0.05326648836</v>
      </c>
      <c r="E37" s="123"/>
      <c r="F37" s="114"/>
      <c r="G37" s="143">
        <f t="shared" si="3"/>
        <v>1035.964062</v>
      </c>
      <c r="H37" s="135">
        <f t="shared" si="4"/>
        <v>65783.71795</v>
      </c>
      <c r="I37" s="151">
        <f t="shared" si="9"/>
        <v>4618.90697</v>
      </c>
      <c r="J37" s="135">
        <f t="shared" si="10"/>
        <v>61164.81098</v>
      </c>
      <c r="K37" s="141"/>
      <c r="L37" s="143">
        <f t="shared" si="6"/>
        <v>1086.799034</v>
      </c>
      <c r="M37" s="135">
        <f t="shared" si="8"/>
        <v>69011.73864</v>
      </c>
      <c r="N37" s="152">
        <f t="shared" si="11"/>
        <v>4845.557694</v>
      </c>
      <c r="O37" s="135">
        <f t="shared" si="7"/>
        <v>64166.18095</v>
      </c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15.75" customHeight="1">
      <c r="A38" s="123"/>
      <c r="B38" s="132">
        <v>14.0</v>
      </c>
      <c r="C38" s="134">
        <f t="shared" si="1"/>
        <v>0.004</v>
      </c>
      <c r="D38" s="134">
        <f t="shared" si="2"/>
        <v>0.05747955432</v>
      </c>
      <c r="E38" s="123"/>
      <c r="F38" s="114"/>
      <c r="G38" s="143">
        <f t="shared" si="3"/>
        <v>978.6369756</v>
      </c>
      <c r="H38" s="135">
        <f t="shared" si="4"/>
        <v>62143.44795</v>
      </c>
      <c r="I38" s="151">
        <f t="shared" si="9"/>
        <v>4618.90697</v>
      </c>
      <c r="J38" s="135">
        <f t="shared" si="10"/>
        <v>57524.54098</v>
      </c>
      <c r="K38" s="141"/>
      <c r="L38" s="143">
        <f t="shared" si="6"/>
        <v>1030.765531</v>
      </c>
      <c r="M38" s="135">
        <f t="shared" si="8"/>
        <v>65453.6112</v>
      </c>
      <c r="N38" s="152">
        <f t="shared" si="11"/>
        <v>4864.939924</v>
      </c>
      <c r="O38" s="135">
        <f t="shared" si="7"/>
        <v>60588.67128</v>
      </c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ht="15.75" customHeight="1">
      <c r="A39" s="123"/>
      <c r="B39" s="132">
        <v>15.0</v>
      </c>
      <c r="C39" s="134">
        <f t="shared" si="1"/>
        <v>0.004</v>
      </c>
      <c r="D39" s="134">
        <f t="shared" si="2"/>
        <v>0.06170947254</v>
      </c>
      <c r="E39" s="123"/>
      <c r="F39" s="114"/>
      <c r="G39" s="143">
        <f t="shared" si="3"/>
        <v>920.3926557</v>
      </c>
      <c r="H39" s="135">
        <f t="shared" si="4"/>
        <v>58444.93364</v>
      </c>
      <c r="I39" s="151">
        <f t="shared" si="9"/>
        <v>4618.90697</v>
      </c>
      <c r="J39" s="135">
        <f t="shared" si="10"/>
        <v>53826.02667</v>
      </c>
      <c r="K39" s="141"/>
      <c r="L39" s="143">
        <f t="shared" si="6"/>
        <v>973.2964154</v>
      </c>
      <c r="M39" s="135">
        <f t="shared" si="8"/>
        <v>61804.32238</v>
      </c>
      <c r="N39" s="152">
        <f t="shared" si="11"/>
        <v>4884.399684</v>
      </c>
      <c r="O39" s="135">
        <f t="shared" si="7"/>
        <v>56919.92269</v>
      </c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ht="15.75" customHeight="1">
      <c r="A40" s="123"/>
      <c r="B40" s="132">
        <v>16.0</v>
      </c>
      <c r="C40" s="134">
        <f t="shared" si="1"/>
        <v>0.004</v>
      </c>
      <c r="D40" s="134">
        <f t="shared" si="2"/>
        <v>0.06595631043</v>
      </c>
      <c r="E40" s="123"/>
      <c r="F40" s="114"/>
      <c r="G40" s="143">
        <f t="shared" si="3"/>
        <v>861.2164267</v>
      </c>
      <c r="H40" s="135">
        <f t="shared" si="4"/>
        <v>54687.24309</v>
      </c>
      <c r="I40" s="151">
        <f t="shared" si="9"/>
        <v>4618.90697</v>
      </c>
      <c r="J40" s="135">
        <f t="shared" si="10"/>
        <v>50068.33612</v>
      </c>
      <c r="K40" s="141"/>
      <c r="L40" s="143">
        <f t="shared" si="6"/>
        <v>914.3616381</v>
      </c>
      <c r="M40" s="135">
        <f t="shared" si="8"/>
        <v>58061.96402</v>
      </c>
      <c r="N40" s="152">
        <f t="shared" si="11"/>
        <v>4903.937283</v>
      </c>
      <c r="O40" s="135">
        <f t="shared" si="7"/>
        <v>53158.02674</v>
      </c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ht="15.75" customHeight="1">
      <c r="A41" s="123"/>
      <c r="B41" s="132">
        <v>17.0</v>
      </c>
      <c r="C41" s="134">
        <f t="shared" si="1"/>
        <v>0.004</v>
      </c>
      <c r="D41" s="134">
        <f t="shared" si="2"/>
        <v>0.07022013567</v>
      </c>
      <c r="E41" s="123"/>
      <c r="F41" s="114"/>
      <c r="G41" s="143">
        <f t="shared" si="3"/>
        <v>801.093378</v>
      </c>
      <c r="H41" s="135">
        <f t="shared" si="4"/>
        <v>50869.4295</v>
      </c>
      <c r="I41" s="151">
        <f t="shared" si="9"/>
        <v>4618.90697</v>
      </c>
      <c r="J41" s="135">
        <f t="shared" si="10"/>
        <v>46250.52253</v>
      </c>
      <c r="K41" s="141"/>
      <c r="L41" s="143">
        <f t="shared" si="6"/>
        <v>853.9305415</v>
      </c>
      <c r="M41" s="135">
        <f t="shared" si="8"/>
        <v>54224.58939</v>
      </c>
      <c r="N41" s="152">
        <f t="shared" si="11"/>
        <v>4923.553032</v>
      </c>
      <c r="O41" s="135">
        <f t="shared" si="7"/>
        <v>49301.03635</v>
      </c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ht="15.75" customHeight="1">
      <c r="A42" s="123"/>
      <c r="B42" s="132">
        <v>18.0</v>
      </c>
      <c r="C42" s="134">
        <f t="shared" si="1"/>
        <v>0.004</v>
      </c>
      <c r="D42" s="134">
        <f t="shared" si="2"/>
        <v>0.07450101621</v>
      </c>
      <c r="E42" s="123"/>
      <c r="F42" s="114"/>
      <c r="G42" s="143">
        <f t="shared" si="3"/>
        <v>740.0083605</v>
      </c>
      <c r="H42" s="135">
        <f t="shared" si="4"/>
        <v>46990.53089</v>
      </c>
      <c r="I42" s="151">
        <f t="shared" si="9"/>
        <v>4618.90697</v>
      </c>
      <c r="J42" s="135">
        <f t="shared" si="10"/>
        <v>42371.62392</v>
      </c>
      <c r="K42" s="141"/>
      <c r="L42" s="143">
        <f t="shared" si="6"/>
        <v>791.971848</v>
      </c>
      <c r="M42" s="135">
        <f t="shared" si="8"/>
        <v>50290.21235</v>
      </c>
      <c r="N42" s="152">
        <f t="shared" si="11"/>
        <v>4943.247244</v>
      </c>
      <c r="O42" s="135">
        <f t="shared" si="7"/>
        <v>45346.9651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ht="15.75" customHeight="1">
      <c r="A43" s="123"/>
      <c r="B43" s="132">
        <v>19.0</v>
      </c>
      <c r="C43" s="134">
        <f t="shared" si="1"/>
        <v>0.004</v>
      </c>
      <c r="D43" s="134">
        <f t="shared" si="2"/>
        <v>0.07879902028</v>
      </c>
      <c r="E43" s="123"/>
      <c r="F43" s="114"/>
      <c r="G43" s="143">
        <f t="shared" si="3"/>
        <v>677.9459828</v>
      </c>
      <c r="H43" s="135">
        <f t="shared" si="4"/>
        <v>43049.56991</v>
      </c>
      <c r="I43" s="151">
        <f t="shared" si="9"/>
        <v>4618.90697</v>
      </c>
      <c r="J43" s="135">
        <f t="shared" si="10"/>
        <v>38430.66294</v>
      </c>
      <c r="K43" s="141"/>
      <c r="L43" s="143">
        <f t="shared" si="6"/>
        <v>728.4536474</v>
      </c>
      <c r="M43" s="135">
        <f t="shared" si="8"/>
        <v>46256.80661</v>
      </c>
      <c r="N43" s="152">
        <f t="shared" si="11"/>
        <v>4963.020233</v>
      </c>
      <c r="O43" s="135">
        <f t="shared" si="7"/>
        <v>41293.78638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ht="15.75" customHeight="1">
      <c r="A44" s="123"/>
      <c r="B44" s="132">
        <v>20.0</v>
      </c>
      <c r="C44" s="134">
        <f t="shared" si="1"/>
        <v>0.004</v>
      </c>
      <c r="D44" s="134">
        <f t="shared" si="2"/>
        <v>0.08311421636</v>
      </c>
      <c r="E44" s="123"/>
      <c r="F44" s="114"/>
      <c r="G44" s="143">
        <f t="shared" si="3"/>
        <v>614.890607</v>
      </c>
      <c r="H44" s="135">
        <f t="shared" si="4"/>
        <v>39045.55354</v>
      </c>
      <c r="I44" s="151">
        <f t="shared" si="9"/>
        <v>4618.90697</v>
      </c>
      <c r="J44" s="135">
        <f t="shared" si="10"/>
        <v>34426.64657</v>
      </c>
      <c r="K44" s="141"/>
      <c r="L44" s="143">
        <f t="shared" si="6"/>
        <v>663.3433844</v>
      </c>
      <c r="M44" s="135">
        <f t="shared" si="8"/>
        <v>42122.30491</v>
      </c>
      <c r="N44" s="152">
        <f t="shared" si="11"/>
        <v>4982.872314</v>
      </c>
      <c r="O44" s="135">
        <f t="shared" si="7"/>
        <v>37139.43259</v>
      </c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ht="15.75" customHeight="1">
      <c r="A45" s="123"/>
      <c r="B45" s="132">
        <v>21.0</v>
      </c>
      <c r="C45" s="134">
        <f t="shared" si="1"/>
        <v>0.004</v>
      </c>
      <c r="D45" s="134">
        <f t="shared" si="2"/>
        <v>0.08744667322</v>
      </c>
      <c r="E45" s="123"/>
      <c r="F45" s="114"/>
      <c r="G45" s="143">
        <f t="shared" si="3"/>
        <v>550.8263452</v>
      </c>
      <c r="H45" s="135">
        <f t="shared" si="4"/>
        <v>34977.47292</v>
      </c>
      <c r="I45" s="151">
        <f t="shared" si="9"/>
        <v>4618.90697</v>
      </c>
      <c r="J45" s="135">
        <f t="shared" si="10"/>
        <v>30358.56595</v>
      </c>
      <c r="K45" s="141"/>
      <c r="L45" s="143">
        <f t="shared" si="6"/>
        <v>596.6078452</v>
      </c>
      <c r="M45" s="135">
        <f t="shared" si="8"/>
        <v>37884.59817</v>
      </c>
      <c r="N45" s="152">
        <f t="shared" si="11"/>
        <v>5002.803803</v>
      </c>
      <c r="O45" s="135">
        <f t="shared" si="7"/>
        <v>32881.79437</v>
      </c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ht="15.75" customHeight="1">
      <c r="A46" s="123"/>
      <c r="B46" s="132">
        <v>22.0</v>
      </c>
      <c r="C46" s="134">
        <f t="shared" si="1"/>
        <v>0.004</v>
      </c>
      <c r="D46" s="134">
        <f t="shared" si="2"/>
        <v>0.09179645991</v>
      </c>
      <c r="E46" s="123"/>
      <c r="F46" s="114"/>
      <c r="G46" s="143">
        <f t="shared" si="3"/>
        <v>485.7370552</v>
      </c>
      <c r="H46" s="135">
        <f t="shared" si="4"/>
        <v>30844.303</v>
      </c>
      <c r="I46" s="151">
        <f t="shared" si="9"/>
        <v>4618.90697</v>
      </c>
      <c r="J46" s="135">
        <f t="shared" si="10"/>
        <v>26225.39603</v>
      </c>
      <c r="K46" s="141"/>
      <c r="L46" s="143">
        <f t="shared" si="6"/>
        <v>528.2131447</v>
      </c>
      <c r="M46" s="135">
        <f t="shared" si="8"/>
        <v>33541.53469</v>
      </c>
      <c r="N46" s="152">
        <f t="shared" si="11"/>
        <v>5022.815019</v>
      </c>
      <c r="O46" s="135">
        <f t="shared" si="7"/>
        <v>28518.71967</v>
      </c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ht="15.75" customHeight="1">
      <c r="A47" s="123"/>
      <c r="B47" s="132">
        <v>23.0</v>
      </c>
      <c r="C47" s="134">
        <f t="shared" si="1"/>
        <v>0.004</v>
      </c>
      <c r="D47" s="134">
        <f t="shared" si="2"/>
        <v>0.09616364575</v>
      </c>
      <c r="E47" s="123"/>
      <c r="F47" s="114"/>
      <c r="G47" s="143">
        <f t="shared" si="3"/>
        <v>419.6063365</v>
      </c>
      <c r="H47" s="135">
        <f t="shared" si="4"/>
        <v>26645.00237</v>
      </c>
      <c r="I47" s="151">
        <f t="shared" si="9"/>
        <v>4618.90697</v>
      </c>
      <c r="J47" s="135">
        <f t="shared" si="10"/>
        <v>22026.0954</v>
      </c>
      <c r="K47" s="141"/>
      <c r="L47" s="143">
        <f t="shared" si="6"/>
        <v>458.1247128</v>
      </c>
      <c r="M47" s="135">
        <f t="shared" si="8"/>
        <v>29090.91926</v>
      </c>
      <c r="N47" s="152">
        <f t="shared" si="11"/>
        <v>5042.906279</v>
      </c>
      <c r="O47" s="135">
        <f t="shared" si="7"/>
        <v>24048.01298</v>
      </c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ht="15.75" customHeight="1">
      <c r="A48" s="123"/>
      <c r="B48" s="132">
        <v>24.0</v>
      </c>
      <c r="C48" s="134">
        <f t="shared" si="1"/>
        <v>0.004</v>
      </c>
      <c r="D48" s="134">
        <f t="shared" si="2"/>
        <v>0.1005483003</v>
      </c>
      <c r="E48" s="123"/>
      <c r="F48" s="114"/>
      <c r="G48" s="143">
        <f t="shared" si="3"/>
        <v>352.4175264</v>
      </c>
      <c r="H48" s="135">
        <f t="shared" si="4"/>
        <v>22378.51293</v>
      </c>
      <c r="I48" s="151">
        <f t="shared" si="9"/>
        <v>4618.90697</v>
      </c>
      <c r="J48" s="135">
        <f t="shared" si="10"/>
        <v>17759.60596</v>
      </c>
      <c r="K48" s="141"/>
      <c r="L48" s="143">
        <f t="shared" si="6"/>
        <v>386.3072806</v>
      </c>
      <c r="M48" s="135">
        <f t="shared" si="8"/>
        <v>24530.51232</v>
      </c>
      <c r="N48" s="152">
        <f t="shared" si="11"/>
        <v>5063.077904</v>
      </c>
      <c r="O48" s="135">
        <f t="shared" si="7"/>
        <v>19467.43441</v>
      </c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ht="15.75" customHeight="1">
      <c r="A49" s="123"/>
      <c r="B49" s="132">
        <v>25.0</v>
      </c>
      <c r="C49" s="134">
        <f t="shared" si="1"/>
        <v>0.004</v>
      </c>
      <c r="D49" s="134">
        <f t="shared" si="2"/>
        <v>0.1049504935</v>
      </c>
      <c r="E49" s="123"/>
      <c r="F49" s="114"/>
      <c r="G49" s="143">
        <f t="shared" si="3"/>
        <v>284.1536953</v>
      </c>
      <c r="H49" s="135">
        <f t="shared" si="4"/>
        <v>18043.75965</v>
      </c>
      <c r="I49" s="151">
        <f t="shared" si="9"/>
        <v>4618.90697</v>
      </c>
      <c r="J49" s="135">
        <f t="shared" si="10"/>
        <v>13424.85268</v>
      </c>
      <c r="K49" s="141"/>
      <c r="L49" s="143">
        <f t="shared" si="6"/>
        <v>312.7248664</v>
      </c>
      <c r="M49" s="135">
        <f t="shared" si="8"/>
        <v>19858.02902</v>
      </c>
      <c r="N49" s="152">
        <f t="shared" si="11"/>
        <v>5083.330215</v>
      </c>
      <c r="O49" s="135">
        <f t="shared" si="7"/>
        <v>14774.6988</v>
      </c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ht="15.75" customHeight="1">
      <c r="A50" s="123"/>
      <c r="B50" s="132">
        <v>26.0</v>
      </c>
      <c r="C50" s="134">
        <f t="shared" si="1"/>
        <v>0.004</v>
      </c>
      <c r="D50" s="134">
        <f t="shared" si="2"/>
        <v>0.1093702955</v>
      </c>
      <c r="E50" s="123"/>
      <c r="F50" s="114"/>
      <c r="G50" s="143">
        <f t="shared" si="3"/>
        <v>214.7976429</v>
      </c>
      <c r="H50" s="135">
        <f t="shared" si="4"/>
        <v>13639.65032</v>
      </c>
      <c r="I50" s="151">
        <f t="shared" si="9"/>
        <v>4618.90697</v>
      </c>
      <c r="J50" s="135">
        <f t="shared" si="10"/>
        <v>9020.743354</v>
      </c>
      <c r="K50" s="141"/>
      <c r="L50" s="143">
        <f t="shared" si="6"/>
        <v>237.3407615</v>
      </c>
      <c r="M50" s="135">
        <f t="shared" si="8"/>
        <v>15071.13836</v>
      </c>
      <c r="N50" s="152">
        <f t="shared" si="11"/>
        <v>5103.663536</v>
      </c>
      <c r="O50" s="135">
        <f t="shared" si="7"/>
        <v>9967.474821</v>
      </c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ht="15.75" customHeight="1">
      <c r="A51" s="123"/>
      <c r="B51" s="132">
        <v>27.0</v>
      </c>
      <c r="C51" s="134">
        <f t="shared" si="1"/>
        <v>0.004</v>
      </c>
      <c r="D51" s="134">
        <f t="shared" si="2"/>
        <v>0.1138077767</v>
      </c>
      <c r="E51" s="123"/>
      <c r="F51" s="114"/>
      <c r="G51" s="143">
        <f t="shared" si="3"/>
        <v>144.3318937</v>
      </c>
      <c r="H51" s="135">
        <f t="shared" si="4"/>
        <v>9165.075248</v>
      </c>
      <c r="I51" s="151">
        <f t="shared" si="9"/>
        <v>4618.90697</v>
      </c>
      <c r="J51" s="135">
        <f t="shared" si="10"/>
        <v>4546.168278</v>
      </c>
      <c r="K51" s="141"/>
      <c r="L51" s="143">
        <f t="shared" si="6"/>
        <v>160.1175155</v>
      </c>
      <c r="M51" s="135">
        <f t="shared" si="8"/>
        <v>10167.46224</v>
      </c>
      <c r="N51" s="152">
        <f t="shared" si="11"/>
        <v>5124.07819</v>
      </c>
      <c r="O51" s="135">
        <f t="shared" si="7"/>
        <v>5043.384046</v>
      </c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ht="15.75" customHeight="1">
      <c r="A52" s="123"/>
      <c r="B52" s="123"/>
      <c r="C52" s="123"/>
      <c r="D52" s="123"/>
      <c r="E52" s="123"/>
      <c r="F52" s="114"/>
      <c r="G52" s="143">
        <f t="shared" si="3"/>
        <v>72.73869244</v>
      </c>
      <c r="H52" s="135">
        <f t="shared" si="4"/>
        <v>4618.90697</v>
      </c>
      <c r="I52" s="158">
        <f t="shared" si="9"/>
        <v>4618.90697</v>
      </c>
      <c r="J52" s="135">
        <f t="shared" si="10"/>
        <v>0.0000000001073203748</v>
      </c>
      <c r="K52" s="141"/>
      <c r="L52" s="143">
        <f t="shared" si="6"/>
        <v>81.01692131</v>
      </c>
      <c r="M52" s="135">
        <f t="shared" si="8"/>
        <v>5144.574503</v>
      </c>
      <c r="N52" s="159">
        <f t="shared" si="11"/>
        <v>5144.574503</v>
      </c>
      <c r="O52" s="135">
        <f t="shared" si="7"/>
        <v>0.0000000001195342681</v>
      </c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ht="15.75" customHeight="1">
      <c r="A53" s="123"/>
      <c r="B53" s="123"/>
      <c r="C53" s="123"/>
      <c r="D53" s="123"/>
      <c r="E53" s="123"/>
      <c r="F53" s="123"/>
      <c r="G53" s="141"/>
      <c r="H53" s="160" t="s">
        <v>120</v>
      </c>
      <c r="I53" s="152">
        <f>SUM(I25:I52)</f>
        <v>132653.7673</v>
      </c>
      <c r="J53" s="161"/>
      <c r="K53" s="141"/>
      <c r="L53" s="141"/>
      <c r="M53" s="160" t="s">
        <v>120</v>
      </c>
      <c r="N53" s="152">
        <f t="shared" si="11"/>
        <v>132653.7673</v>
      </c>
      <c r="O53" s="161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ht="15.75" customHeight="1">
      <c r="A54" s="114"/>
      <c r="B54" s="114"/>
      <c r="C54" s="114"/>
      <c r="D54" s="114"/>
      <c r="E54" s="114"/>
      <c r="F54" s="114"/>
      <c r="G54" s="162"/>
      <c r="H54" s="162"/>
      <c r="I54" s="162"/>
      <c r="J54" s="162"/>
      <c r="K54" s="162"/>
      <c r="L54" s="162"/>
      <c r="M54" s="162"/>
      <c r="N54" s="162"/>
      <c r="O54" s="162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ht="15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ht="15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ht="15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ht="15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ht="15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ht="15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ht="15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ht="15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ht="15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ht="15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ht="15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ht="15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ht="15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ht="15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ht="15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ht="15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ht="15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ht="15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ht="15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ht="15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ht="15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ht="15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ht="15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ht="15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ht="15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ht="15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ht="15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ht="15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ht="15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ht="15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ht="15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ht="15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ht="15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ht="15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ht="15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ht="15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ht="15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ht="15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ht="15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ht="15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ht="15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ht="15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ht="15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ht="15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ht="15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ht="15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ht="15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ht="15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ht="15.75" customHeight="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ht="15.75" customHeight="1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ht="15.75" customHeight="1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ht="15.75" customHeight="1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ht="15.75" customHeight="1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ht="15.75" customHeight="1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ht="15.75" customHeight="1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ht="15.75" customHeight="1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ht="15.75" customHeight="1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ht="15.75" customHeight="1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ht="15.75" customHeight="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ht="15.75" customHeight="1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ht="15.75" customHeight="1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ht="15.75" customHeight="1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ht="15.75" customHeight="1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ht="15.75" customHeight="1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ht="15.75" customHeight="1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ht="15.75" customHeight="1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ht="15.75" customHeight="1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ht="15.75" customHeight="1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ht="15.75" customHeight="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ht="15.75" customHeight="1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ht="15.75" customHeight="1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ht="15.75" customHeight="1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ht="15.75" customHeight="1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ht="15.75" customHeight="1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ht="15.75" customHeight="1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ht="15.75" customHeight="1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ht="15.75" customHeight="1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ht="15.75" customHeight="1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ht="15.75" customHeight="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ht="15.75" customHeight="1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ht="15.75" customHeight="1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ht="15.75" customHeight="1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ht="15.75" customHeight="1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ht="15.75" customHeight="1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ht="15.75" customHeight="1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ht="15.75" customHeight="1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ht="15.75" customHeight="1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ht="15.75" customHeight="1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ht="15.75" customHeight="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ht="15.75" customHeight="1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ht="15.75" customHeight="1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ht="15.75" customHeight="1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ht="15.75" customHeight="1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ht="15.75" customHeight="1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ht="15.75" customHeight="1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ht="15.75" customHeight="1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ht="15.75" customHeight="1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ht="15.75" customHeight="1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ht="15.75" customHeight="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ht="15.75" customHeight="1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ht="15.75" customHeight="1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ht="15.75" customHeight="1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ht="15.75" customHeight="1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ht="15.75" customHeight="1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ht="15.75" customHeight="1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ht="15.75" customHeight="1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ht="15.75" customHeight="1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ht="15.75" customHeight="1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ht="15.75" customHeight="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ht="15.75" customHeight="1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ht="15.75" customHeight="1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ht="15.75" customHeight="1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ht="15.75" customHeight="1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ht="15.75" customHeight="1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ht="15.75" customHeight="1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ht="15.75" customHeight="1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ht="15.75" customHeight="1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ht="15.75" customHeight="1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ht="15.75" customHeight="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ht="15.75" customHeight="1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ht="15.75" customHeight="1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ht="15.75" customHeight="1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ht="15.75" customHeight="1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ht="15.75" customHeight="1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ht="15.75" customHeight="1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ht="15.75" customHeight="1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ht="15.75" customHeight="1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ht="15.75" customHeight="1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ht="15.75" customHeight="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ht="15.75" customHeight="1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ht="15.75" customHeight="1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ht="15.75" customHeight="1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ht="15.75" customHeight="1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ht="15.75" customHeight="1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ht="15.75" customHeight="1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ht="15.75" customHeight="1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ht="15.75" customHeight="1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ht="15.75" customHeight="1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ht="15.75" customHeight="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ht="15.75" customHeight="1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ht="15.75" customHeight="1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ht="15.75" customHeight="1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ht="15.75" customHeight="1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ht="15.75" customHeight="1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ht="15.75" customHeight="1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ht="15.75" customHeight="1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ht="15.75" customHeight="1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ht="15.75" customHeight="1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ht="15.75" customHeight="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ht="15.75" customHeight="1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ht="15.75" customHeight="1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3:Q12"/>
    <mergeCell ref="D14:J14"/>
    <mergeCell ref="K14:Q14"/>
    <mergeCell ref="I17:I18"/>
    <mergeCell ref="I19:I20"/>
    <mergeCell ref="G23:J23"/>
    <mergeCell ref="L23:O2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163" t="s">
        <v>177</v>
      </c>
      <c r="E5" s="35"/>
      <c r="F5" s="35"/>
      <c r="G5" s="35"/>
      <c r="H5" s="35"/>
      <c r="I5" s="35"/>
      <c r="J5" s="35"/>
      <c r="K5" s="35"/>
      <c r="L5" s="35"/>
      <c r="M5" s="36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7"/>
      <c r="M6" s="38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7"/>
      <c r="M7" s="38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7"/>
      <c r="M8" s="38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7"/>
      <c r="M9" s="38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7"/>
      <c r="M10" s="3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7"/>
      <c r="M11" s="3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7"/>
      <c r="M12" s="3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7"/>
      <c r="M13" s="3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9"/>
      <c r="E14" s="40"/>
      <c r="F14" s="40"/>
      <c r="G14" s="40"/>
      <c r="H14" s="40"/>
      <c r="I14" s="40"/>
      <c r="J14" s="40"/>
      <c r="K14" s="40"/>
      <c r="L14" s="40"/>
      <c r="M14" s="4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164" t="s">
        <v>178</v>
      </c>
      <c r="E16" s="43"/>
      <c r="F16" s="43"/>
      <c r="G16" s="43"/>
      <c r="H16" s="44"/>
      <c r="I16" s="165">
        <v>2090.0</v>
      </c>
      <c r="J16" s="43"/>
      <c r="K16" s="43"/>
      <c r="L16" s="43"/>
      <c r="M16" s="44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102" t="s">
        <v>179</v>
      </c>
      <c r="E18" s="166">
        <v>2090.0</v>
      </c>
      <c r="F18" s="33"/>
      <c r="G18" s="33"/>
      <c r="H18" s="33"/>
      <c r="I18" s="102" t="s">
        <v>180</v>
      </c>
      <c r="J18" s="71">
        <v>2090.0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102" t="s">
        <v>181</v>
      </c>
      <c r="E19" s="70">
        <v>0.086</v>
      </c>
      <c r="F19" s="33"/>
      <c r="G19" s="33"/>
      <c r="H19" s="33"/>
      <c r="I19" s="102" t="s">
        <v>182</v>
      </c>
      <c r="J19" s="71">
        <f>J18/(1+F46)</f>
        <v>1854.328494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102" t="s">
        <v>183</v>
      </c>
      <c r="E20" s="70">
        <f>((1+E19)^(1/12)-1)</f>
        <v>0.006898789559</v>
      </c>
      <c r="F20" s="33"/>
      <c r="G20" s="33"/>
      <c r="H20" s="33"/>
      <c r="I20" s="102" t="s">
        <v>184</v>
      </c>
      <c r="J20" s="71">
        <f>J19/(220-(221*(1+E20)))</f>
        <v>-734.494426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102" t="s">
        <v>160</v>
      </c>
      <c r="E21" s="70">
        <v>0.006</v>
      </c>
      <c r="F21" s="33"/>
      <c r="G21" s="33"/>
      <c r="H21" s="33"/>
      <c r="I21" s="102" t="s">
        <v>185</v>
      </c>
      <c r="J21" s="71">
        <f>(-240*J20)</f>
        <v>176278.6622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102" t="s">
        <v>186</v>
      </c>
      <c r="E22" s="69">
        <v>240.0</v>
      </c>
      <c r="F22" s="33" t="s">
        <v>187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102">
        <v>0.0</v>
      </c>
      <c r="E26" s="102" t="s">
        <v>160</v>
      </c>
      <c r="F26" s="102" t="s">
        <v>188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167">
        <v>1.0</v>
      </c>
      <c r="E27" s="168">
        <v>0.006</v>
      </c>
      <c r="F27" s="168">
        <v>0.006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167">
        <v>2.0</v>
      </c>
      <c r="E28" s="168">
        <v>0.006</v>
      </c>
      <c r="F28" s="169">
        <f t="shared" ref="F28:F46" si="1">((1+E28)*(1+F27) -1)</f>
        <v>0.012036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167">
        <v>3.0</v>
      </c>
      <c r="E29" s="168">
        <v>0.006</v>
      </c>
      <c r="F29" s="169">
        <f t="shared" si="1"/>
        <v>0.018108216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167">
        <v>4.0</v>
      </c>
      <c r="E30" s="168">
        <v>0.006</v>
      </c>
      <c r="F30" s="169">
        <f t="shared" si="1"/>
        <v>0.0242168653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167">
        <v>5.0</v>
      </c>
      <c r="E31" s="168">
        <v>0.006</v>
      </c>
      <c r="F31" s="169">
        <f t="shared" si="1"/>
        <v>0.03036216649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167">
        <v>6.0</v>
      </c>
      <c r="E32" s="168">
        <v>0.006</v>
      </c>
      <c r="F32" s="169">
        <f t="shared" si="1"/>
        <v>0.03654433949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167">
        <v>7.0</v>
      </c>
      <c r="E33" s="168">
        <v>0.006</v>
      </c>
      <c r="F33" s="169">
        <f t="shared" si="1"/>
        <v>0.04276360552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167">
        <v>8.0</v>
      </c>
      <c r="E34" s="168">
        <v>0.006</v>
      </c>
      <c r="F34" s="169">
        <f t="shared" si="1"/>
        <v>0.04902018716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167">
        <v>9.0</v>
      </c>
      <c r="E35" s="168">
        <v>0.006</v>
      </c>
      <c r="F35" s="169">
        <f t="shared" si="1"/>
        <v>0.05531430828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167">
        <v>10.0</v>
      </c>
      <c r="E36" s="168">
        <v>0.006</v>
      </c>
      <c r="F36" s="169">
        <f t="shared" si="1"/>
        <v>0.06164619413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167">
        <v>11.0</v>
      </c>
      <c r="E37" s="168">
        <v>0.006</v>
      </c>
      <c r="F37" s="169">
        <f t="shared" si="1"/>
        <v>0.06801607129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167">
        <v>12.0</v>
      </c>
      <c r="E38" s="168">
        <v>0.006</v>
      </c>
      <c r="F38" s="169">
        <f t="shared" si="1"/>
        <v>0.07442416772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167">
        <v>13.0</v>
      </c>
      <c r="E39" s="168">
        <v>0.006</v>
      </c>
      <c r="F39" s="169">
        <f t="shared" si="1"/>
        <v>0.08087071273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167">
        <v>14.0</v>
      </c>
      <c r="E40" s="168">
        <v>0.006</v>
      </c>
      <c r="F40" s="169">
        <f t="shared" si="1"/>
        <v>0.087355937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167">
        <v>15.0</v>
      </c>
      <c r="E41" s="168">
        <v>0.006</v>
      </c>
      <c r="F41" s="169">
        <f t="shared" si="1"/>
        <v>0.09388007263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167">
        <v>16.0</v>
      </c>
      <c r="E42" s="168">
        <v>0.006</v>
      </c>
      <c r="F42" s="169">
        <f t="shared" si="1"/>
        <v>0.1004433531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167">
        <v>17.0</v>
      </c>
      <c r="E43" s="168">
        <v>0.006</v>
      </c>
      <c r="F43" s="169">
        <f t="shared" si="1"/>
        <v>0.1070460132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167">
        <v>18.0</v>
      </c>
      <c r="E44" s="168">
        <v>0.006</v>
      </c>
      <c r="F44" s="169">
        <f t="shared" si="1"/>
        <v>0.1136882893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167">
        <v>19.0</v>
      </c>
      <c r="E45" s="168">
        <v>0.006</v>
      </c>
      <c r="F45" s="169">
        <f t="shared" si="1"/>
        <v>0.120370419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167">
        <v>20.0</v>
      </c>
      <c r="E46" s="168">
        <v>0.006</v>
      </c>
      <c r="F46" s="169">
        <f t="shared" si="1"/>
        <v>0.1270926415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5:M14"/>
    <mergeCell ref="D16:H16"/>
    <mergeCell ref="I16:M16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17.63"/>
    <col customWidth="1" min="6" max="26" width="14.38"/>
  </cols>
  <sheetData>
    <row r="5">
      <c r="D5" s="170" t="s">
        <v>189</v>
      </c>
      <c r="E5" s="35"/>
      <c r="F5" s="35"/>
      <c r="G5" s="35"/>
      <c r="H5" s="35"/>
      <c r="I5" s="35"/>
      <c r="J5" s="35"/>
      <c r="K5" s="35"/>
      <c r="L5" s="35"/>
      <c r="M5" s="36"/>
    </row>
    <row r="6">
      <c r="D6" s="37"/>
      <c r="M6" s="38"/>
    </row>
    <row r="7">
      <c r="D7" s="37"/>
      <c r="M7" s="38"/>
    </row>
    <row r="8">
      <c r="D8" s="37"/>
      <c r="M8" s="38"/>
    </row>
    <row r="9">
      <c r="D9" s="37"/>
      <c r="M9" s="38"/>
    </row>
    <row r="10">
      <c r="D10" s="37"/>
      <c r="M10" s="38"/>
    </row>
    <row r="11">
      <c r="D11" s="37"/>
      <c r="M11" s="38"/>
    </row>
    <row r="12">
      <c r="D12" s="37"/>
      <c r="M12" s="38"/>
    </row>
    <row r="13">
      <c r="D13" s="37"/>
      <c r="M13" s="38"/>
    </row>
    <row r="14">
      <c r="D14" s="39"/>
      <c r="E14" s="40"/>
      <c r="F14" s="40"/>
      <c r="G14" s="40"/>
      <c r="H14" s="40"/>
      <c r="I14" s="40"/>
      <c r="J14" s="40"/>
      <c r="K14" s="40"/>
      <c r="L14" s="40"/>
      <c r="M14" s="41"/>
    </row>
    <row r="16">
      <c r="D16" s="171" t="s">
        <v>10</v>
      </c>
      <c r="E16" s="43"/>
      <c r="F16" s="43"/>
      <c r="G16" s="43"/>
      <c r="H16" s="44"/>
      <c r="I16" s="172">
        <v>20900.0</v>
      </c>
      <c r="J16" s="43"/>
      <c r="K16" s="43"/>
      <c r="L16" s="43"/>
      <c r="M16" s="44"/>
    </row>
    <row r="20">
      <c r="A20" s="173" t="s">
        <v>190</v>
      </c>
      <c r="B20" s="44"/>
      <c r="C20" s="173" t="s">
        <v>191</v>
      </c>
      <c r="D20" s="44"/>
      <c r="E20" s="173" t="s">
        <v>192</v>
      </c>
      <c r="F20" s="44"/>
      <c r="G20" s="173" t="s">
        <v>193</v>
      </c>
      <c r="H20" s="44"/>
      <c r="I20" s="173" t="s">
        <v>194</v>
      </c>
      <c r="J20" s="44"/>
      <c r="K20" s="173" t="s">
        <v>195</v>
      </c>
      <c r="L20" s="44"/>
      <c r="M20" s="174" t="s">
        <v>196</v>
      </c>
      <c r="N20" s="44"/>
    </row>
    <row r="21" ht="15.75" customHeight="1">
      <c r="A21" s="175">
        <v>0.012</v>
      </c>
      <c r="B21" s="44"/>
      <c r="C21" s="176">
        <v>20900.0</v>
      </c>
      <c r="D21" s="44"/>
      <c r="E21" s="177">
        <v>6.0</v>
      </c>
      <c r="F21" s="44"/>
      <c r="G21" s="175">
        <f>(1+A21)^3-1</f>
        <v>0.036433728</v>
      </c>
      <c r="H21" s="44"/>
      <c r="I21" s="176">
        <f>C21*E21</f>
        <v>125400</v>
      </c>
      <c r="J21" s="44"/>
      <c r="K21" s="176">
        <f>FV(G21,1,,-I21)</f>
        <v>129968.7895</v>
      </c>
      <c r="L21" s="44"/>
      <c r="M21" s="178">
        <f>PMT(G21,E21/3,-K21)</f>
        <v>68557.0099</v>
      </c>
      <c r="N21" s="44"/>
      <c r="O21" s="179"/>
      <c r="P21" s="180"/>
      <c r="Q21" s="181"/>
      <c r="R21" s="182"/>
      <c r="S21" s="181"/>
      <c r="T21" s="183"/>
      <c r="U21" s="183"/>
    </row>
    <row r="22" ht="15.75" customHeight="1">
      <c r="P22" s="182"/>
      <c r="Q22" s="181"/>
      <c r="R22" s="182"/>
      <c r="S22" s="181"/>
      <c r="T22" s="183"/>
      <c r="U22" s="183"/>
    </row>
    <row r="23" ht="15.75" customHeight="1">
      <c r="P23" s="182"/>
      <c r="Q23" s="181"/>
      <c r="R23" s="181"/>
      <c r="S23" s="181"/>
      <c r="T23" s="183"/>
      <c r="U23" s="183"/>
    </row>
    <row r="24" ht="15.75" customHeight="1">
      <c r="O24" s="179"/>
      <c r="P24" s="181"/>
      <c r="Q24" s="181"/>
      <c r="R24" s="182"/>
      <c r="S24" s="181"/>
      <c r="T24" s="183"/>
      <c r="U24" s="183"/>
    </row>
    <row r="25" ht="15.75" customHeight="1">
      <c r="I25" s="183"/>
      <c r="N25" s="182"/>
      <c r="O25" s="181"/>
      <c r="P25" s="182"/>
      <c r="Q25" s="181"/>
      <c r="R25" s="183"/>
      <c r="S25" s="183"/>
    </row>
    <row r="26" ht="15.75" customHeight="1">
      <c r="I26" s="183"/>
      <c r="N26" s="182"/>
      <c r="O26" s="181"/>
      <c r="P26" s="182"/>
      <c r="Q26" s="181"/>
      <c r="R26" s="183"/>
      <c r="S26" s="183"/>
    </row>
    <row r="27" ht="15.75" customHeight="1">
      <c r="I27" s="183"/>
      <c r="N27" s="182"/>
      <c r="O27" s="181"/>
      <c r="P27" s="181"/>
      <c r="Q27" s="181"/>
      <c r="R27" s="183"/>
      <c r="S27" s="183"/>
    </row>
    <row r="28" ht="15.75" customHeight="1">
      <c r="C28" s="184" t="s">
        <v>197</v>
      </c>
      <c r="D28" s="43"/>
      <c r="E28" s="44"/>
      <c r="I28" s="183"/>
      <c r="N28" s="182"/>
      <c r="O28" s="181"/>
      <c r="P28" s="181"/>
      <c r="Q28" s="181"/>
      <c r="R28" s="183"/>
      <c r="S28" s="183"/>
    </row>
    <row r="29" ht="15.75" customHeight="1">
      <c r="C29" s="185">
        <v>0.0</v>
      </c>
      <c r="D29" s="185" t="s">
        <v>165</v>
      </c>
      <c r="E29" s="186" t="s">
        <v>165</v>
      </c>
      <c r="F29" s="183"/>
      <c r="G29" s="187" t="s">
        <v>198</v>
      </c>
      <c r="H29" s="44"/>
      <c r="I29" s="183"/>
      <c r="M29" s="179"/>
      <c r="N29" s="181"/>
      <c r="O29" s="181"/>
      <c r="P29" s="181"/>
      <c r="Q29" s="181"/>
      <c r="R29" s="183"/>
      <c r="S29" s="183"/>
    </row>
    <row r="30" ht="15.75" customHeight="1">
      <c r="C30" s="185">
        <v>1.0</v>
      </c>
      <c r="D30" s="185" t="s">
        <v>165</v>
      </c>
      <c r="E30" s="186" t="s">
        <v>165</v>
      </c>
      <c r="F30" s="183"/>
      <c r="G30" s="188">
        <f>PMT(G21,2,-E38)</f>
        <v>61959.46039</v>
      </c>
      <c r="H30" s="36"/>
      <c r="I30" s="183"/>
    </row>
    <row r="31" ht="15.75" customHeight="1">
      <c r="C31" s="185">
        <v>2.0</v>
      </c>
      <c r="D31" s="185" t="s">
        <v>165</v>
      </c>
      <c r="E31" s="185" t="s">
        <v>165</v>
      </c>
      <c r="G31" s="37"/>
      <c r="H31" s="38"/>
    </row>
    <row r="32" ht="15.75" customHeight="1">
      <c r="C32" s="185">
        <v>3.0</v>
      </c>
      <c r="D32" s="189">
        <v>20900.0</v>
      </c>
      <c r="E32" s="186">
        <f t="shared" ref="E32:E37" si="1">PV($A$21,C32,,-D32)</f>
        <v>20165.30284</v>
      </c>
      <c r="G32" s="37"/>
      <c r="H32" s="38"/>
    </row>
    <row r="33" ht="15.75" customHeight="1">
      <c r="C33" s="185">
        <v>4.0</v>
      </c>
      <c r="D33" s="189">
        <v>20900.0</v>
      </c>
      <c r="E33" s="186">
        <f t="shared" si="1"/>
        <v>19926.18858</v>
      </c>
      <c r="G33" s="39"/>
      <c r="H33" s="41"/>
    </row>
    <row r="34" ht="15.75" customHeight="1">
      <c r="C34" s="185">
        <v>5.0</v>
      </c>
      <c r="D34" s="189">
        <v>20900.0</v>
      </c>
      <c r="E34" s="186">
        <f t="shared" si="1"/>
        <v>19689.90966</v>
      </c>
    </row>
    <row r="35" ht="15.75" customHeight="1">
      <c r="C35" s="185">
        <v>6.0</v>
      </c>
      <c r="D35" s="189">
        <v>20900.0</v>
      </c>
      <c r="E35" s="186">
        <f t="shared" si="1"/>
        <v>19456.43247</v>
      </c>
    </row>
    <row r="36" ht="15.75" customHeight="1">
      <c r="C36" s="185">
        <v>7.0</v>
      </c>
      <c r="D36" s="189">
        <v>20900.0</v>
      </c>
      <c r="E36" s="186">
        <f t="shared" si="1"/>
        <v>19225.72379</v>
      </c>
    </row>
    <row r="37" ht="15.75" customHeight="1">
      <c r="C37" s="185">
        <v>8.0</v>
      </c>
      <c r="D37" s="189">
        <v>20900.0</v>
      </c>
      <c r="E37" s="186">
        <f t="shared" si="1"/>
        <v>18997.75078</v>
      </c>
    </row>
    <row r="38" ht="15.75" customHeight="1">
      <c r="C38" s="190" t="s">
        <v>120</v>
      </c>
      <c r="D38" s="190">
        <f t="shared" ref="D38:E38" si="2">SUM(D32:D37)</f>
        <v>125400</v>
      </c>
      <c r="E38" s="191">
        <f t="shared" si="2"/>
        <v>117461.3081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G20:H20"/>
    <mergeCell ref="I20:J20"/>
    <mergeCell ref="C28:E28"/>
    <mergeCell ref="G29:H29"/>
    <mergeCell ref="G30:H33"/>
    <mergeCell ref="K20:L20"/>
    <mergeCell ref="M20:N20"/>
    <mergeCell ref="A21:B21"/>
    <mergeCell ref="C21:D21"/>
    <mergeCell ref="E21:F21"/>
    <mergeCell ref="G21:H21"/>
    <mergeCell ref="I21:J21"/>
    <mergeCell ref="K21:L21"/>
    <mergeCell ref="M21:N21"/>
    <mergeCell ref="D5:M14"/>
    <mergeCell ref="D16:H16"/>
    <mergeCell ref="I16:M16"/>
    <mergeCell ref="A18:N19"/>
    <mergeCell ref="A20:B20"/>
    <mergeCell ref="C20:D20"/>
    <mergeCell ref="E20:F2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5" width="14.38"/>
    <col customWidth="1" min="6" max="6" width="22.0"/>
    <col customWidth="1" min="7" max="7" width="19.25"/>
    <col customWidth="1" min="8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C5" s="33"/>
      <c r="D5" s="34" t="s">
        <v>199</v>
      </c>
      <c r="E5" s="35"/>
      <c r="F5" s="35"/>
      <c r="G5" s="35"/>
      <c r="H5" s="35"/>
      <c r="I5" s="35"/>
      <c r="J5" s="35"/>
      <c r="K5" s="35"/>
      <c r="L5" s="35"/>
      <c r="M5" s="36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33"/>
      <c r="D6" s="37"/>
      <c r="M6" s="38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37"/>
      <c r="M7" s="38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37"/>
      <c r="M8" s="38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37"/>
      <c r="M9" s="38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37"/>
      <c r="M10" s="3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37"/>
      <c r="M11" s="3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37"/>
      <c r="M12" s="3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7"/>
      <c r="M13" s="3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9"/>
      <c r="E14" s="40"/>
      <c r="F14" s="40"/>
      <c r="G14" s="40"/>
      <c r="H14" s="40"/>
      <c r="I14" s="40"/>
      <c r="J14" s="40"/>
      <c r="K14" s="40"/>
      <c r="L14" s="40"/>
      <c r="M14" s="41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63" t="s">
        <v>18</v>
      </c>
      <c r="E16" s="43"/>
      <c r="F16" s="43"/>
      <c r="G16" s="43"/>
      <c r="H16" s="44"/>
      <c r="I16" s="192">
        <v>30900.0</v>
      </c>
      <c r="J16" s="43"/>
      <c r="K16" s="43"/>
      <c r="L16" s="43"/>
      <c r="M16" s="44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102" t="s">
        <v>200</v>
      </c>
      <c r="E20" s="69">
        <v>10.0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ht="15.75" customHeight="1">
      <c r="A21" s="33"/>
      <c r="B21" s="33"/>
      <c r="C21" s="33"/>
      <c r="D21" s="102" t="s">
        <v>117</v>
      </c>
      <c r="E21" s="193">
        <v>0.12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ht="15.75" customHeight="1">
      <c r="A22" s="33"/>
      <c r="B22" s="33"/>
      <c r="C22" s="33"/>
      <c r="D22" s="102" t="s">
        <v>201</v>
      </c>
      <c r="E22" s="194">
        <v>30900.0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114"/>
      <c r="E23" s="33"/>
      <c r="F23" s="33"/>
      <c r="G23" s="195" t="s">
        <v>202</v>
      </c>
      <c r="H23" s="196">
        <f>PV(E21,E20,-E22)</f>
        <v>174591.8916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52"/>
      <c r="H24" s="5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5:M14"/>
    <mergeCell ref="D16:H16"/>
    <mergeCell ref="I16:M16"/>
    <mergeCell ref="G23:G24"/>
    <mergeCell ref="H23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1.38"/>
    <col customWidth="1" min="3" max="6" width="8.75"/>
    <col customWidth="1" min="7" max="26" width="14.38"/>
  </cols>
  <sheetData>
    <row r="1">
      <c r="A1" s="28" t="s">
        <v>37</v>
      </c>
      <c r="B1" s="28" t="s">
        <v>38</v>
      </c>
    </row>
    <row r="2">
      <c r="A2" s="29">
        <v>1.0</v>
      </c>
      <c r="B2" s="30" t="s">
        <v>39</v>
      </c>
    </row>
    <row r="3">
      <c r="A3" s="29">
        <v>2.0</v>
      </c>
      <c r="B3" s="30" t="s">
        <v>40</v>
      </c>
    </row>
    <row r="4">
      <c r="A4" s="29">
        <v>3.0</v>
      </c>
      <c r="B4" s="30" t="s">
        <v>41</v>
      </c>
    </row>
    <row r="5">
      <c r="A5" s="29">
        <v>4.0</v>
      </c>
      <c r="B5" s="30" t="s">
        <v>42</v>
      </c>
    </row>
    <row r="6">
      <c r="A6" s="29">
        <v>5.0</v>
      </c>
      <c r="B6" s="30" t="s">
        <v>43</v>
      </c>
    </row>
    <row r="7">
      <c r="A7" s="29">
        <v>6.0</v>
      </c>
      <c r="B7" s="30" t="s">
        <v>44</v>
      </c>
    </row>
    <row r="8">
      <c r="A8" s="29">
        <v>7.0</v>
      </c>
      <c r="B8" s="30" t="s">
        <v>45</v>
      </c>
    </row>
    <row r="9">
      <c r="A9" s="29">
        <v>8.0</v>
      </c>
      <c r="B9" s="30" t="s">
        <v>46</v>
      </c>
    </row>
    <row r="10">
      <c r="A10" s="29">
        <v>9.0</v>
      </c>
      <c r="B10" s="30" t="s">
        <v>47</v>
      </c>
    </row>
    <row r="11">
      <c r="A11" s="29">
        <v>10.0</v>
      </c>
      <c r="B11" s="31" t="s">
        <v>48</v>
      </c>
    </row>
    <row r="12">
      <c r="A12" s="29">
        <v>11.0</v>
      </c>
      <c r="B12" s="31" t="s">
        <v>49</v>
      </c>
    </row>
    <row r="13">
      <c r="A13" s="29">
        <v>12.0</v>
      </c>
      <c r="B13" s="31" t="s">
        <v>50</v>
      </c>
    </row>
    <row r="14">
      <c r="A14" s="29">
        <v>13.0</v>
      </c>
      <c r="B14" s="31" t="s">
        <v>51</v>
      </c>
    </row>
    <row r="15">
      <c r="A15" s="29">
        <v>14.0</v>
      </c>
      <c r="B15" s="31" t="s">
        <v>52</v>
      </c>
    </row>
    <row r="16">
      <c r="A16" s="29">
        <v>15.0</v>
      </c>
      <c r="B16" s="31" t="s">
        <v>53</v>
      </c>
    </row>
    <row r="17">
      <c r="A17" s="29">
        <v>16.0</v>
      </c>
      <c r="B17" s="31" t="s">
        <v>54</v>
      </c>
    </row>
    <row r="18">
      <c r="A18" s="29">
        <v>17.0</v>
      </c>
      <c r="B18" s="31" t="s">
        <v>55</v>
      </c>
    </row>
    <row r="19">
      <c r="A19" s="29">
        <v>18.0</v>
      </c>
      <c r="B19" s="31" t="s">
        <v>56</v>
      </c>
    </row>
    <row r="20">
      <c r="A20" s="29">
        <v>19.0</v>
      </c>
      <c r="B20" s="31" t="s">
        <v>57</v>
      </c>
    </row>
    <row r="21" ht="15.75" customHeight="1">
      <c r="A21" s="29">
        <v>20.0</v>
      </c>
      <c r="B21" s="31" t="s">
        <v>58</v>
      </c>
    </row>
    <row r="22" ht="15.75" customHeight="1">
      <c r="A22" s="29">
        <v>21.0</v>
      </c>
      <c r="B22" s="31" t="s">
        <v>59</v>
      </c>
    </row>
    <row r="23" ht="15.75" customHeight="1">
      <c r="A23" s="29">
        <v>22.0</v>
      </c>
      <c r="B23" s="31" t="s">
        <v>60</v>
      </c>
    </row>
    <row r="24" ht="15.75" customHeight="1">
      <c r="A24" s="29">
        <v>23.0</v>
      </c>
      <c r="B24" s="31" t="s">
        <v>61</v>
      </c>
    </row>
    <row r="25" ht="15.75" customHeight="1">
      <c r="A25" s="29">
        <v>24.0</v>
      </c>
      <c r="B25" s="31" t="s">
        <v>62</v>
      </c>
    </row>
    <row r="26" ht="15.75" customHeight="1">
      <c r="A26" s="29">
        <v>25.0</v>
      </c>
      <c r="B26" s="31" t="s">
        <v>63</v>
      </c>
    </row>
    <row r="27" ht="15.75" customHeight="1">
      <c r="A27" s="29">
        <v>26.0</v>
      </c>
      <c r="B27" s="31" t="s">
        <v>64</v>
      </c>
    </row>
    <row r="28" ht="15.75" customHeight="1">
      <c r="A28" s="29">
        <v>27.0</v>
      </c>
      <c r="B28" s="31" t="s">
        <v>65</v>
      </c>
    </row>
    <row r="29" ht="15.75" customHeight="1">
      <c r="A29" s="29">
        <v>28.0</v>
      </c>
      <c r="B29" s="31" t="s">
        <v>66</v>
      </c>
    </row>
    <row r="30" ht="15.75" customHeight="1">
      <c r="A30" s="29">
        <v>29.0</v>
      </c>
      <c r="B30" s="31" t="s">
        <v>67</v>
      </c>
    </row>
    <row r="31" ht="15.75" customHeight="1">
      <c r="A31" s="29">
        <v>30.0</v>
      </c>
      <c r="B31" s="31" t="s">
        <v>68</v>
      </c>
    </row>
    <row r="32" ht="15.75" customHeight="1">
      <c r="A32" s="29">
        <v>31.0</v>
      </c>
      <c r="B32" s="31" t="s">
        <v>69</v>
      </c>
    </row>
    <row r="33" ht="15.75" customHeight="1">
      <c r="A33" s="29">
        <v>32.0</v>
      </c>
      <c r="B33" s="31" t="s">
        <v>70</v>
      </c>
    </row>
    <row r="34" ht="15.75" customHeight="1">
      <c r="A34" s="29">
        <v>33.0</v>
      </c>
      <c r="B34" s="31" t="s">
        <v>71</v>
      </c>
    </row>
    <row r="35" ht="15.75" customHeight="1">
      <c r="A35" s="29">
        <v>34.0</v>
      </c>
      <c r="B35" s="31" t="s">
        <v>72</v>
      </c>
    </row>
    <row r="36" ht="15.75" customHeight="1">
      <c r="A36" s="29">
        <v>35.0</v>
      </c>
      <c r="B36" s="31" t="s">
        <v>73</v>
      </c>
    </row>
    <row r="37" ht="15.75" customHeight="1">
      <c r="A37" s="29">
        <v>36.0</v>
      </c>
      <c r="B37" s="31" t="s">
        <v>74</v>
      </c>
    </row>
    <row r="38" ht="15.75" customHeight="1">
      <c r="A38" s="29">
        <v>37.0</v>
      </c>
      <c r="B38" s="31" t="s">
        <v>75</v>
      </c>
    </row>
    <row r="39" ht="15.75" customHeight="1">
      <c r="A39" s="29">
        <v>38.0</v>
      </c>
      <c r="B39" s="31" t="s">
        <v>76</v>
      </c>
    </row>
    <row r="40" ht="15.75" customHeight="1">
      <c r="A40" s="29">
        <v>39.0</v>
      </c>
      <c r="B40" s="31" t="s">
        <v>77</v>
      </c>
    </row>
    <row r="41" ht="15.75" customHeight="1">
      <c r="A41" s="29">
        <v>40.0</v>
      </c>
      <c r="B41" s="31" t="s">
        <v>78</v>
      </c>
    </row>
    <row r="42" ht="15.75" customHeight="1">
      <c r="A42" s="29">
        <v>41.0</v>
      </c>
      <c r="B42" s="31" t="s">
        <v>79</v>
      </c>
    </row>
    <row r="43" ht="15.75" customHeight="1">
      <c r="A43" s="29">
        <v>42.0</v>
      </c>
      <c r="B43" s="31" t="s">
        <v>80</v>
      </c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32" t="s">
        <v>81</v>
      </c>
      <c r="D1" s="32" t="s">
        <v>82</v>
      </c>
      <c r="J1" s="31">
        <v>1.0</v>
      </c>
    </row>
    <row r="2">
      <c r="A2" s="31" t="str">
        <f>'Página11'!A2=85000</f>
        <v>#REF!</v>
      </c>
    </row>
    <row r="3">
      <c r="A3" s="31" t="str">
        <f>'Página11'!A5</f>
        <v>#REF!</v>
      </c>
    </row>
    <row r="4">
      <c r="A4" s="32" t="s">
        <v>83</v>
      </c>
      <c r="B4" s="32" t="s">
        <v>83</v>
      </c>
    </row>
    <row r="6">
      <c r="A6" s="32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32" t="s">
        <v>85</v>
      </c>
      <c r="D1" s="32" t="s">
        <v>86</v>
      </c>
    </row>
    <row r="4">
      <c r="A4" s="32" t="s">
        <v>87</v>
      </c>
    </row>
    <row r="6">
      <c r="A6" s="32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4.38"/>
    <col customWidth="1" min="3" max="3" width="22.75"/>
    <col customWidth="1" min="4" max="4" width="19.13"/>
    <col customWidth="1" min="5" max="5" width="14.38"/>
    <col customWidth="1" min="6" max="6" width="24.63"/>
    <col customWidth="1" min="7" max="7" width="22.25"/>
    <col customWidth="1" min="8" max="26" width="14.38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4" t="s">
        <v>88</v>
      </c>
      <c r="C2" s="35"/>
      <c r="D2" s="35"/>
      <c r="E2" s="35"/>
      <c r="F2" s="35"/>
      <c r="G2" s="35"/>
      <c r="H2" s="35"/>
      <c r="I2" s="35"/>
      <c r="J2" s="35"/>
      <c r="K2" s="3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7"/>
      <c r="K3" s="38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7"/>
      <c r="K4" s="38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7"/>
      <c r="K5" s="38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7"/>
      <c r="K6" s="38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7"/>
      <c r="K7" s="38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9"/>
      <c r="C8" s="40"/>
      <c r="D8" s="40"/>
      <c r="E8" s="40"/>
      <c r="F8" s="40"/>
      <c r="G8" s="40"/>
      <c r="H8" s="40"/>
      <c r="I8" s="40"/>
      <c r="J8" s="40"/>
      <c r="K8" s="41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42" t="s">
        <v>10</v>
      </c>
      <c r="C10" s="43"/>
      <c r="D10" s="43"/>
      <c r="E10" s="43"/>
      <c r="F10" s="44"/>
      <c r="G10" s="45">
        <v>59000.0</v>
      </c>
      <c r="H10" s="43"/>
      <c r="I10" s="43"/>
      <c r="J10" s="43"/>
      <c r="K10" s="44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6" t="s">
        <v>89</v>
      </c>
      <c r="B12" s="47" t="s">
        <v>90</v>
      </c>
      <c r="C12" s="43"/>
      <c r="D12" s="43"/>
      <c r="E12" s="44"/>
      <c r="F12" s="47" t="s">
        <v>91</v>
      </c>
      <c r="G12" s="43"/>
      <c r="H12" s="4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8" t="s">
        <v>92</v>
      </c>
      <c r="B13" s="49" t="s">
        <v>93</v>
      </c>
      <c r="C13" s="49" t="s">
        <v>94</v>
      </c>
      <c r="D13" s="49" t="s">
        <v>95</v>
      </c>
      <c r="E13" s="50" t="s">
        <v>96</v>
      </c>
      <c r="F13" s="51" t="s">
        <v>97</v>
      </c>
      <c r="G13" s="43"/>
      <c r="H13" s="4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52"/>
      <c r="B14" s="53">
        <f>(1+12%)^(1/12)-1</f>
        <v>0.009488792935</v>
      </c>
      <c r="C14" s="54">
        <v>23.0</v>
      </c>
      <c r="D14" s="55" t="s">
        <v>98</v>
      </c>
      <c r="E14" s="56">
        <f>PV(B14,C14,-F14)+F14</f>
        <v>58999.99994</v>
      </c>
      <c r="F14" s="57">
        <v>2734.5156747847795</v>
      </c>
      <c r="G14" s="43"/>
      <c r="H14" s="4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5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59" t="s">
        <v>99</v>
      </c>
      <c r="C19" s="35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9"/>
      <c r="C20" s="40"/>
      <c r="D20" s="4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60" t="s">
        <v>100</v>
      </c>
      <c r="C21" s="43"/>
      <c r="D21" s="4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60" t="s">
        <v>101</v>
      </c>
      <c r="C22" s="44"/>
      <c r="D22" s="61">
        <v>1.12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60" t="s">
        <v>102</v>
      </c>
      <c r="C23" s="44"/>
      <c r="D23" s="61">
        <f t="shared" ref="D23:D24" si="1">(1+12%)^(1/12)-1</f>
        <v>0.009488792935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60" t="s">
        <v>103</v>
      </c>
      <c r="C24" s="44"/>
      <c r="D24" s="62">
        <f t="shared" si="1"/>
        <v>0.009488792935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12:H12"/>
    <mergeCell ref="F13:H13"/>
    <mergeCell ref="B19:D20"/>
    <mergeCell ref="B21:D21"/>
    <mergeCell ref="B22:C22"/>
    <mergeCell ref="B23:C23"/>
    <mergeCell ref="B24:C24"/>
    <mergeCell ref="B2:K8"/>
    <mergeCell ref="B9:K9"/>
    <mergeCell ref="B10:F10"/>
    <mergeCell ref="G10:K10"/>
    <mergeCell ref="B11:K11"/>
    <mergeCell ref="B12:E12"/>
    <mergeCell ref="A13:A14"/>
    <mergeCell ref="F14:H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6" width="14.38"/>
    <col customWidth="1" min="7" max="7" width="21.75"/>
    <col customWidth="1" min="8" max="8" width="31.75"/>
    <col customWidth="1" min="9" max="10" width="14.38"/>
    <col customWidth="1" min="11" max="11" width="21.63"/>
    <col customWidth="1" min="12" max="26" width="14.38"/>
  </cols>
  <sheetData>
    <row r="1">
      <c r="A1" s="33"/>
      <c r="B1" s="33"/>
      <c r="C1" s="33"/>
      <c r="D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3"/>
      <c r="D3" s="34" t="s">
        <v>104</v>
      </c>
      <c r="E3" s="35"/>
      <c r="F3" s="35"/>
      <c r="G3" s="35"/>
      <c r="H3" s="35"/>
      <c r="I3" s="35"/>
      <c r="J3" s="35"/>
      <c r="K3" s="35"/>
      <c r="L3" s="35"/>
      <c r="M3" s="36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3"/>
      <c r="D4" s="37"/>
      <c r="M4" s="38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3"/>
      <c r="D5" s="37"/>
      <c r="M5" s="38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D6" s="37"/>
      <c r="M6" s="38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D7" s="37"/>
      <c r="M7" s="38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D8" s="37"/>
      <c r="M8" s="38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D9" s="37"/>
      <c r="M9" s="38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D10" s="39"/>
      <c r="E10" s="40"/>
      <c r="F10" s="40"/>
      <c r="G10" s="40"/>
      <c r="H10" s="40"/>
      <c r="I10" s="40"/>
      <c r="J10" s="40"/>
      <c r="K10" s="40"/>
      <c r="L10" s="40"/>
      <c r="M10" s="41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D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D12" s="63" t="s">
        <v>10</v>
      </c>
      <c r="E12" s="43"/>
      <c r="F12" s="43"/>
      <c r="G12" s="43"/>
      <c r="H12" s="44"/>
      <c r="I12" s="64">
        <v>1180.0</v>
      </c>
      <c r="J12" s="43"/>
      <c r="K12" s="43"/>
      <c r="L12" s="43"/>
      <c r="M12" s="44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D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6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66" t="s">
        <v>105</v>
      </c>
      <c r="F18" s="36"/>
      <c r="G18" s="33"/>
      <c r="H18" s="67" t="s">
        <v>106</v>
      </c>
      <c r="I18" s="44"/>
      <c r="J18" s="33"/>
      <c r="K18" s="68" t="s">
        <v>107</v>
      </c>
      <c r="L18" s="4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9"/>
      <c r="F19" s="41"/>
      <c r="G19" s="33"/>
      <c r="H19" s="69" t="s">
        <v>108</v>
      </c>
      <c r="I19" s="69">
        <v>40.0</v>
      </c>
      <c r="J19" s="33"/>
      <c r="K19" s="69" t="s">
        <v>108</v>
      </c>
      <c r="L19" s="69">
        <v>240.0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69" t="s">
        <v>109</v>
      </c>
      <c r="F20" s="70">
        <v>0.076</v>
      </c>
      <c r="G20" s="33"/>
      <c r="H20" s="69" t="s">
        <v>110</v>
      </c>
      <c r="I20" s="71">
        <v>1180.0</v>
      </c>
      <c r="J20" s="33"/>
      <c r="K20" s="69" t="s">
        <v>110</v>
      </c>
      <c r="L20" s="71">
        <v>1180.0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/>
      <c r="B21" s="33"/>
      <c r="C21" s="33"/>
      <c r="D21" s="33"/>
      <c r="E21" s="69" t="s">
        <v>111</v>
      </c>
      <c r="F21" s="70">
        <f>((1+$F$20)^(1/2))-1</f>
        <v>0.03730419839</v>
      </c>
      <c r="G21" s="33"/>
      <c r="H21" s="69" t="s">
        <v>112</v>
      </c>
      <c r="I21" s="71">
        <f>$I$19*$I$20</f>
        <v>47200</v>
      </c>
      <c r="J21" s="33"/>
      <c r="K21" s="69" t="s">
        <v>112</v>
      </c>
      <c r="L21" s="71">
        <f>$L$19*$L$20</f>
        <v>283200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/>
      <c r="B22" s="33"/>
      <c r="C22" s="33"/>
      <c r="D22" s="33"/>
      <c r="E22" s="69" t="s">
        <v>113</v>
      </c>
      <c r="F22" s="70">
        <f>((1+$F$20)^(1/12))-1</f>
        <v>0.006122873772</v>
      </c>
      <c r="G22" s="33"/>
      <c r="H22" s="69" t="s">
        <v>114</v>
      </c>
      <c r="I22" s="71">
        <f>PV($F$21,$I$19,-$I$20)</f>
        <v>24322.47648</v>
      </c>
      <c r="J22" s="33"/>
      <c r="K22" s="69" t="s">
        <v>114</v>
      </c>
      <c r="L22" s="72">
        <f>PV($F$22,$L$19,-$L$20)</f>
        <v>148187.0314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/>
      <c r="B23" s="33"/>
      <c r="C23" s="33"/>
      <c r="D23" s="33"/>
      <c r="E23" s="5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/>
      <c r="B25" s="33"/>
      <c r="C25" s="33"/>
      <c r="D25" s="33"/>
      <c r="E25" s="33"/>
      <c r="F25" s="33"/>
      <c r="G25" s="33"/>
      <c r="H25" s="73" t="s">
        <v>115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/>
      <c r="B26" s="33"/>
      <c r="C26" s="33"/>
      <c r="D26" s="33"/>
      <c r="E26" s="33"/>
      <c r="F26" s="33"/>
      <c r="G26" s="33"/>
      <c r="H26" s="5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33"/>
      <c r="C27" s="33"/>
      <c r="D27" s="33"/>
      <c r="E27" s="33"/>
      <c r="F27" s="33"/>
      <c r="G27" s="33"/>
      <c r="H27" s="74">
        <f>(L21+I21)-(I22+L22)</f>
        <v>157890.4921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33"/>
      <c r="C28" s="33"/>
      <c r="D28" s="33"/>
      <c r="E28" s="33"/>
      <c r="F28" s="33"/>
      <c r="G28" s="33"/>
      <c r="H28" s="75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3:M13"/>
    <mergeCell ref="C14:N15"/>
    <mergeCell ref="E18:F19"/>
    <mergeCell ref="H18:I18"/>
    <mergeCell ref="K18:L18"/>
    <mergeCell ref="H25:H26"/>
    <mergeCell ref="C1:C13"/>
    <mergeCell ref="D1:N2"/>
    <mergeCell ref="D3:M10"/>
    <mergeCell ref="N3:N12"/>
    <mergeCell ref="D11:M11"/>
    <mergeCell ref="D12:H12"/>
    <mergeCell ref="I12:M12"/>
  </mergeCells>
  <drawing r:id="rId1"/>
</worksheet>
</file>