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下载\浏览器下载\"/>
    </mc:Choice>
  </mc:AlternateContent>
  <xr:revisionPtr revIDLastSave="0" documentId="8_{ACF0080B-9909-4165-8908-D32EDB3AF969}" xr6:coauthVersionLast="47" xr6:coauthVersionMax="47" xr10:uidLastSave="{00000000-0000-0000-0000-000000000000}"/>
  <bookViews>
    <workbookView xWindow="2660" yWindow="2660" windowWidth="19200" windowHeight="10510"/>
  </bookViews>
  <sheets>
    <sheet name="正表" sheetId="4" r:id="rId1"/>
    <sheet name="更新and修正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H12" i="4" s="1"/>
  <c r="G12" i="4"/>
  <c r="I12" i="4"/>
  <c r="J12" i="4"/>
  <c r="K12" i="4"/>
  <c r="L12" i="4"/>
  <c r="N12" i="4" s="1"/>
  <c r="M12" i="4"/>
  <c r="O12" i="4"/>
  <c r="P12" i="4"/>
  <c r="Q12" i="4"/>
  <c r="R12" i="4"/>
  <c r="F13" i="4"/>
  <c r="H13" i="4" s="1"/>
  <c r="T13" i="4" s="1"/>
  <c r="G13" i="4"/>
  <c r="I13" i="4"/>
  <c r="J13" i="4"/>
  <c r="K13" i="4"/>
  <c r="L13" i="4"/>
  <c r="M13" i="4"/>
  <c r="N13" i="4"/>
  <c r="O13" i="4"/>
  <c r="P13" i="4"/>
  <c r="Q13" i="4"/>
  <c r="R13" i="4"/>
  <c r="F14" i="4"/>
  <c r="H14" i="4" s="1"/>
  <c r="T14" i="4" s="1"/>
  <c r="I14" i="4"/>
  <c r="J14" i="4"/>
  <c r="K14" i="4"/>
  <c r="L14" i="4"/>
  <c r="N14" i="4" s="1"/>
  <c r="M14" i="4"/>
  <c r="O14" i="4"/>
  <c r="P14" i="4"/>
  <c r="Q14" i="4"/>
  <c r="R14" i="4"/>
  <c r="F15" i="4"/>
  <c r="I15" i="4"/>
  <c r="H15" i="4" s="1"/>
  <c r="T15" i="4" s="1"/>
  <c r="J15" i="4"/>
  <c r="L15" i="4"/>
  <c r="N15" i="4" s="1"/>
  <c r="M15" i="4"/>
  <c r="O15" i="4"/>
  <c r="P15" i="4"/>
  <c r="Q15" i="4"/>
  <c r="R15" i="4"/>
  <c r="F17" i="4"/>
  <c r="G17" i="4"/>
  <c r="H17" i="4"/>
  <c r="I17" i="4"/>
  <c r="J17" i="4"/>
  <c r="K17" i="4"/>
  <c r="N17" i="4" s="1"/>
  <c r="L17" i="4"/>
  <c r="M17" i="4"/>
  <c r="O17" i="4"/>
  <c r="P17" i="4"/>
  <c r="Q17" i="4"/>
  <c r="R17" i="4"/>
  <c r="F18" i="4"/>
  <c r="G18" i="4"/>
  <c r="I18" i="4"/>
  <c r="H18" i="4" s="1"/>
  <c r="J18" i="4"/>
  <c r="K18" i="4"/>
  <c r="M18" i="4" s="1"/>
  <c r="L18" i="4"/>
  <c r="O18" i="4"/>
  <c r="P18" i="4"/>
  <c r="Q18" i="4"/>
  <c r="R18" i="4"/>
  <c r="F19" i="4"/>
  <c r="H19" i="4"/>
  <c r="I19" i="4"/>
  <c r="J19" i="4"/>
  <c r="K19" i="4"/>
  <c r="M19" i="4" s="1"/>
  <c r="L19" i="4"/>
  <c r="N19" i="4" s="1"/>
  <c r="O19" i="4"/>
  <c r="P19" i="4"/>
  <c r="Q19" i="4"/>
  <c r="R19" i="4"/>
  <c r="F20" i="4"/>
  <c r="H20" i="4" s="1"/>
  <c r="I20" i="4"/>
  <c r="J20" i="4"/>
  <c r="K20" i="4"/>
  <c r="M20" i="4" s="1"/>
  <c r="L20" i="4"/>
  <c r="O20" i="4"/>
  <c r="P20" i="4"/>
  <c r="Q20" i="4"/>
  <c r="R20" i="4"/>
  <c r="H23" i="4"/>
  <c r="I23" i="4"/>
  <c r="T23" i="4" s="1"/>
  <c r="J23" i="4"/>
  <c r="K23" i="4"/>
  <c r="L23" i="4"/>
  <c r="O23" i="4"/>
  <c r="P23" i="4"/>
  <c r="Q23" i="4"/>
  <c r="H24" i="4"/>
  <c r="I24" i="4"/>
  <c r="T24" i="4" s="1"/>
  <c r="J24" i="4"/>
  <c r="K24" i="4"/>
  <c r="P24" i="4"/>
  <c r="Q24" i="4"/>
  <c r="G27" i="4"/>
  <c r="H27" i="4"/>
  <c r="K27" i="4"/>
  <c r="L27" i="4"/>
  <c r="N27" i="4"/>
  <c r="O27" i="4"/>
  <c r="P27" i="4"/>
  <c r="T27" i="4" s="1"/>
  <c r="Q27" i="4"/>
  <c r="H28" i="4"/>
  <c r="K28" i="4"/>
  <c r="M28" i="4" s="1"/>
  <c r="L28" i="4"/>
  <c r="N28" i="4" s="1"/>
  <c r="O28" i="4"/>
  <c r="P28" i="4"/>
  <c r="Q28" i="4"/>
  <c r="G31" i="4"/>
  <c r="H31" i="4"/>
  <c r="I31" i="4"/>
  <c r="K31" i="4"/>
  <c r="M31" i="4" s="1"/>
  <c r="L31" i="4"/>
  <c r="O31" i="4"/>
  <c r="P31" i="4"/>
  <c r="Q31" i="4"/>
  <c r="H32" i="4"/>
  <c r="T32" i="4" s="1"/>
  <c r="I32" i="4"/>
  <c r="K32" i="4"/>
  <c r="N32" i="4" s="1"/>
  <c r="L32" i="4"/>
  <c r="M32" i="4"/>
  <c r="O32" i="4"/>
  <c r="P32" i="4"/>
  <c r="Q32" i="4"/>
  <c r="G35" i="4"/>
  <c r="H35" i="4"/>
  <c r="T35" i="4" s="1"/>
  <c r="I35" i="4"/>
  <c r="K35" i="4"/>
  <c r="M35" i="4" s="1"/>
  <c r="L35" i="4"/>
  <c r="N35" i="4"/>
  <c r="O35" i="4"/>
  <c r="P35" i="4"/>
  <c r="Q35" i="4"/>
  <c r="H36" i="4"/>
  <c r="I36" i="4"/>
  <c r="K36" i="4"/>
  <c r="L36" i="4"/>
  <c r="M36" i="4"/>
  <c r="N36" i="4"/>
  <c r="O36" i="4"/>
  <c r="T36" i="4" s="1"/>
  <c r="P36" i="4"/>
  <c r="Q36" i="4"/>
  <c r="G39" i="4"/>
  <c r="H39" i="4"/>
  <c r="T39" i="4" s="1"/>
  <c r="I39" i="4"/>
  <c r="K39" i="4"/>
  <c r="M39" i="4" s="1"/>
  <c r="L39" i="4"/>
  <c r="N39" i="4"/>
  <c r="O39" i="4"/>
  <c r="P39" i="4"/>
  <c r="Q39" i="4"/>
  <c r="H40" i="4"/>
  <c r="I40" i="4"/>
  <c r="K40" i="4"/>
  <c r="L40" i="4"/>
  <c r="M40" i="4"/>
  <c r="N40" i="4"/>
  <c r="O40" i="4"/>
  <c r="P40" i="4"/>
  <c r="T40" i="4" s="1"/>
  <c r="Q40" i="4"/>
  <c r="G43" i="4"/>
  <c r="H43" i="4" s="1"/>
  <c r="T43" i="4" s="1"/>
  <c r="I43" i="4"/>
  <c r="K43" i="4"/>
  <c r="L43" i="4"/>
  <c r="M43" i="4" s="1"/>
  <c r="N43" i="4"/>
  <c r="O43" i="4"/>
  <c r="P43" i="4"/>
  <c r="H44" i="4"/>
  <c r="I44" i="4"/>
  <c r="K44" i="4"/>
  <c r="M44" i="4" s="1"/>
  <c r="L44" i="4"/>
  <c r="O44" i="4"/>
  <c r="P44" i="4"/>
  <c r="H45" i="4"/>
  <c r="I45" i="4"/>
  <c r="T45" i="4" s="1"/>
  <c r="K45" i="4"/>
  <c r="L45" i="4"/>
  <c r="O45" i="4"/>
  <c r="P45" i="4"/>
  <c r="H46" i="4"/>
  <c r="I46" i="4"/>
  <c r="K46" i="4"/>
  <c r="L46" i="4"/>
  <c r="O46" i="4"/>
  <c r="P46" i="4"/>
  <c r="T46" i="4"/>
  <c r="G49" i="4"/>
  <c r="H49" i="4"/>
  <c r="I49" i="4"/>
  <c r="K49" i="4"/>
  <c r="M49" i="4" s="1"/>
  <c r="L49" i="4"/>
  <c r="O49" i="4"/>
  <c r="P49" i="4"/>
  <c r="Q49" i="4"/>
  <c r="H50" i="4"/>
  <c r="I50" i="4"/>
  <c r="K50" i="4"/>
  <c r="N50" i="4" s="1"/>
  <c r="L50" i="4"/>
  <c r="M50" i="4"/>
  <c r="O50" i="4"/>
  <c r="P50" i="4"/>
  <c r="Q50" i="4"/>
  <c r="H53" i="4"/>
  <c r="T53" i="4" s="1"/>
  <c r="I53" i="4"/>
  <c r="J53" i="4"/>
  <c r="L53" i="4"/>
  <c r="M53" i="4"/>
  <c r="N53" i="4"/>
  <c r="O53" i="4"/>
  <c r="P53" i="4"/>
  <c r="Q53" i="4"/>
  <c r="I54" i="4"/>
  <c r="J54" i="4"/>
  <c r="H54" i="4" s="1"/>
  <c r="T54" i="4" s="1"/>
  <c r="L54" i="4"/>
  <c r="M54" i="4" s="1"/>
  <c r="N54" i="4"/>
  <c r="O54" i="4"/>
  <c r="P54" i="4"/>
  <c r="Q54" i="4"/>
  <c r="H55" i="4"/>
  <c r="I55" i="4"/>
  <c r="J55" i="4"/>
  <c r="L55" i="4"/>
  <c r="M55" i="4"/>
  <c r="N55" i="4"/>
  <c r="O55" i="4"/>
  <c r="P55" i="4"/>
  <c r="T55" i="4" s="1"/>
  <c r="Q55" i="4"/>
  <c r="H56" i="4"/>
  <c r="I56" i="4"/>
  <c r="J56" i="4"/>
  <c r="O56" i="4" s="1"/>
  <c r="T56" i="4" s="1"/>
  <c r="L56" i="4"/>
  <c r="M56" i="4"/>
  <c r="N56" i="4"/>
  <c r="P56" i="4"/>
  <c r="Q56" i="4"/>
  <c r="H57" i="4"/>
  <c r="I57" i="4"/>
  <c r="J57" i="4"/>
  <c r="O57" i="4" s="1"/>
  <c r="K57" i="4"/>
  <c r="M57" i="4" s="1"/>
  <c r="L57" i="4"/>
  <c r="N57" i="4" s="1"/>
  <c r="P57" i="4"/>
  <c r="Q57" i="4"/>
  <c r="H58" i="4"/>
  <c r="I58" i="4"/>
  <c r="J58" i="4"/>
  <c r="O58" i="4" s="1"/>
  <c r="K58" i="4"/>
  <c r="M58" i="4" s="1"/>
  <c r="L58" i="4"/>
  <c r="P58" i="4"/>
  <c r="Q58" i="4"/>
  <c r="H61" i="4"/>
  <c r="T61" i="4" s="1"/>
  <c r="I61" i="4"/>
  <c r="J61" i="4"/>
  <c r="L61" i="4"/>
  <c r="N61" i="4" s="1"/>
  <c r="M61" i="4"/>
  <c r="O61" i="4"/>
  <c r="P61" i="4"/>
  <c r="Q61" i="4"/>
  <c r="H62" i="4"/>
  <c r="T62" i="4" s="1"/>
  <c r="I62" i="4"/>
  <c r="J62" i="4"/>
  <c r="L62" i="4"/>
  <c r="M62" i="4"/>
  <c r="N62" i="4"/>
  <c r="O62" i="4"/>
  <c r="P62" i="4"/>
  <c r="Q62" i="4"/>
  <c r="H65" i="4"/>
  <c r="I65" i="4"/>
  <c r="J65" i="4"/>
  <c r="L65" i="4"/>
  <c r="P65" i="4"/>
  <c r="Q65" i="4"/>
  <c r="T65" i="4"/>
  <c r="H66" i="4"/>
  <c r="I66" i="4"/>
  <c r="T66" i="4" s="1"/>
  <c r="J66" i="4"/>
  <c r="L66" i="4"/>
  <c r="P66" i="4"/>
  <c r="Q66" i="4"/>
  <c r="F70" i="4"/>
  <c r="H70" i="4"/>
  <c r="U70" i="4" s="1"/>
  <c r="I70" i="4"/>
  <c r="J70" i="4"/>
  <c r="O70" i="4"/>
  <c r="P70" i="4"/>
  <c r="R70" i="4"/>
  <c r="V70" i="4"/>
  <c r="F71" i="4"/>
  <c r="H71" i="4"/>
  <c r="I71" i="4"/>
  <c r="J71" i="4"/>
  <c r="O71" i="4"/>
  <c r="P71" i="4"/>
  <c r="R71" i="4"/>
  <c r="T71" i="4" s="1"/>
  <c r="U71" i="4"/>
  <c r="V71" i="4"/>
  <c r="F72" i="4"/>
  <c r="H72" i="4"/>
  <c r="I72" i="4"/>
  <c r="J72" i="4"/>
  <c r="P72" i="4"/>
  <c r="R72" i="4"/>
  <c r="U72" i="4"/>
  <c r="T72" i="4" s="1"/>
  <c r="V72" i="4"/>
  <c r="O72" i="4" s="1"/>
  <c r="F73" i="4"/>
  <c r="H73" i="4"/>
  <c r="I73" i="4"/>
  <c r="J73" i="4" s="1"/>
  <c r="P73" i="4"/>
  <c r="R73" i="4"/>
  <c r="V73" i="4"/>
  <c r="O73" i="4" s="1"/>
  <c r="H76" i="4"/>
  <c r="I76" i="4"/>
  <c r="T76" i="4" s="1"/>
  <c r="J76" i="4"/>
  <c r="P76" i="4"/>
  <c r="H77" i="4"/>
  <c r="I77" i="4"/>
  <c r="J77" i="4"/>
  <c r="P77" i="4"/>
  <c r="T77" i="4"/>
  <c r="H78" i="4"/>
  <c r="I78" i="4"/>
  <c r="J78" i="4"/>
  <c r="P78" i="4"/>
  <c r="T78" i="4"/>
  <c r="H81" i="4"/>
  <c r="I81" i="4"/>
  <c r="T81" i="4" s="1"/>
  <c r="J81" i="4"/>
  <c r="M81" i="4"/>
  <c r="N81" i="4"/>
  <c r="O81" i="4"/>
  <c r="P81" i="4"/>
  <c r="H82" i="4"/>
  <c r="I82" i="4"/>
  <c r="T82" i="4" s="1"/>
  <c r="J82" i="4"/>
  <c r="O82" i="4" s="1"/>
  <c r="M82" i="4"/>
  <c r="N82" i="4"/>
  <c r="P82" i="4"/>
  <c r="H83" i="4"/>
  <c r="I83" i="4"/>
  <c r="J83" i="4"/>
  <c r="M83" i="4"/>
  <c r="N83" i="4"/>
  <c r="O83" i="4"/>
  <c r="P83" i="4"/>
  <c r="T83" i="4"/>
  <c r="H84" i="4"/>
  <c r="I84" i="4"/>
  <c r="T84" i="4" s="1"/>
  <c r="J84" i="4"/>
  <c r="M84" i="4"/>
  <c r="N84" i="4"/>
  <c r="O84" i="4"/>
  <c r="P84" i="4"/>
  <c r="H87" i="4"/>
  <c r="T87" i="4" s="1"/>
  <c r="I87" i="4"/>
  <c r="M87" i="4"/>
  <c r="N87" i="4"/>
  <c r="O87" i="4"/>
  <c r="P87" i="4"/>
  <c r="I88" i="4"/>
  <c r="H88" i="4" s="1"/>
  <c r="M88" i="4"/>
  <c r="N88" i="4"/>
  <c r="O88" i="4"/>
  <c r="P88" i="4"/>
  <c r="H89" i="4"/>
  <c r="I89" i="4"/>
  <c r="U89" i="4" s="1"/>
  <c r="M89" i="4"/>
  <c r="N89" i="4"/>
  <c r="O89" i="4"/>
  <c r="P89" i="4"/>
  <c r="T89" i="4"/>
  <c r="H92" i="4"/>
  <c r="T92" i="4" s="1"/>
  <c r="I92" i="4"/>
  <c r="J92" i="4"/>
  <c r="L92" i="4"/>
  <c r="O92" i="4"/>
  <c r="P92" i="4"/>
  <c r="Q92" i="4"/>
  <c r="H93" i="4"/>
  <c r="I93" i="4"/>
  <c r="J93" i="4"/>
  <c r="L93" i="4"/>
  <c r="O93" i="4"/>
  <c r="P93" i="4"/>
  <c r="Q93" i="4"/>
  <c r="T93" i="4"/>
  <c r="H94" i="4"/>
  <c r="I94" i="4"/>
  <c r="T94" i="4" s="1"/>
  <c r="J94" i="4"/>
  <c r="L94" i="4"/>
  <c r="O94" i="4"/>
  <c r="P94" i="4"/>
  <c r="Q94" i="4"/>
  <c r="H95" i="4"/>
  <c r="I95" i="4"/>
  <c r="T95" i="4" s="1"/>
  <c r="J95" i="4"/>
  <c r="L95" i="4"/>
  <c r="O95" i="4"/>
  <c r="P95" i="4"/>
  <c r="Q95" i="4"/>
  <c r="H98" i="4"/>
  <c r="I98" i="4"/>
  <c r="L98" i="4"/>
  <c r="M98" i="4" s="1"/>
  <c r="N98" i="4"/>
  <c r="O98" i="4"/>
  <c r="T98" i="4" s="1"/>
  <c r="P98" i="4"/>
  <c r="Q98" i="4"/>
  <c r="H99" i="4"/>
  <c r="I99" i="4"/>
  <c r="L99" i="4"/>
  <c r="M99" i="4" s="1"/>
  <c r="N99" i="4"/>
  <c r="O99" i="4"/>
  <c r="P99" i="4"/>
  <c r="Q99" i="4"/>
  <c r="T99" i="4"/>
  <c r="H100" i="4"/>
  <c r="T100" i="4" s="1"/>
  <c r="I100" i="4"/>
  <c r="M100" i="4"/>
  <c r="N100" i="4"/>
  <c r="O100" i="4"/>
  <c r="P100" i="4"/>
  <c r="Q100" i="4"/>
  <c r="H101" i="4"/>
  <c r="T101" i="4" s="1"/>
  <c r="I101" i="4"/>
  <c r="L101" i="4"/>
  <c r="M101" i="4"/>
  <c r="N101" i="4"/>
  <c r="O101" i="4"/>
  <c r="P101" i="4"/>
  <c r="Q101" i="4"/>
  <c r="H104" i="4"/>
  <c r="I104" i="4"/>
  <c r="J104" i="4"/>
  <c r="L104" i="4"/>
  <c r="M104" i="4" s="1"/>
  <c r="N104" i="4"/>
  <c r="O104" i="4"/>
  <c r="P104" i="4"/>
  <c r="T104" i="4"/>
  <c r="I105" i="4"/>
  <c r="H105" i="4" s="1"/>
  <c r="T105" i="4" s="1"/>
  <c r="J105" i="4"/>
  <c r="N105" i="4"/>
  <c r="O105" i="4"/>
  <c r="P105" i="4"/>
  <c r="H108" i="4"/>
  <c r="I108" i="4"/>
  <c r="M108" i="4"/>
  <c r="N108" i="4"/>
  <c r="O108" i="4"/>
  <c r="T108" i="4" s="1"/>
  <c r="P108" i="4"/>
  <c r="H109" i="4"/>
  <c r="I109" i="4"/>
  <c r="M109" i="4"/>
  <c r="N109" i="4"/>
  <c r="O109" i="4"/>
  <c r="P109" i="4"/>
  <c r="T109" i="4"/>
  <c r="H110" i="4"/>
  <c r="T110" i="4" s="1"/>
  <c r="I110" i="4"/>
  <c r="O110" i="4" s="1"/>
  <c r="M110" i="4"/>
  <c r="N110" i="4"/>
  <c r="P110" i="4"/>
  <c r="H113" i="4"/>
  <c r="I113" i="4"/>
  <c r="J113" i="4"/>
  <c r="P113" i="4"/>
  <c r="T113" i="4"/>
  <c r="H114" i="4"/>
  <c r="I114" i="4"/>
  <c r="T114" i="4" s="1"/>
  <c r="J114" i="4"/>
  <c r="P114" i="4"/>
  <c r="H115" i="4"/>
  <c r="I115" i="4"/>
  <c r="J115" i="4"/>
  <c r="P115" i="4"/>
  <c r="T115" i="4"/>
  <c r="H119" i="4"/>
  <c r="T119" i="4" s="1"/>
  <c r="M119" i="4"/>
  <c r="N119" i="4"/>
  <c r="O119" i="4"/>
  <c r="P119" i="4"/>
  <c r="Q119" i="4"/>
  <c r="R119" i="4"/>
  <c r="H120" i="4"/>
  <c r="K120" i="4"/>
  <c r="M120" i="4"/>
  <c r="N120" i="4"/>
  <c r="O120" i="4"/>
  <c r="P120" i="4"/>
  <c r="Q120" i="4"/>
  <c r="R120" i="4"/>
  <c r="T120" i="4"/>
  <c r="H121" i="4"/>
  <c r="J121" i="4"/>
  <c r="M121" i="4"/>
  <c r="N121" i="4"/>
  <c r="O121" i="4"/>
  <c r="P121" i="4"/>
  <c r="Q121" i="4"/>
  <c r="R121" i="4"/>
  <c r="T121" i="4"/>
  <c r="H124" i="4"/>
  <c r="I124" i="4"/>
  <c r="L124" i="4"/>
  <c r="M124" i="4" s="1"/>
  <c r="O124" i="4"/>
  <c r="P124" i="4"/>
  <c r="H125" i="4"/>
  <c r="I125" i="4"/>
  <c r="M125" i="4"/>
  <c r="N125" i="4"/>
  <c r="O125" i="4"/>
  <c r="P125" i="4"/>
  <c r="T125" i="4"/>
  <c r="H128" i="4"/>
  <c r="M128" i="4"/>
  <c r="N128" i="4"/>
  <c r="O128" i="4"/>
  <c r="P128" i="4"/>
  <c r="R128" i="4"/>
  <c r="T128" i="4"/>
  <c r="H129" i="4"/>
  <c r="M129" i="4"/>
  <c r="N129" i="4"/>
  <c r="O129" i="4"/>
  <c r="T129" i="4" s="1"/>
  <c r="P129" i="4"/>
  <c r="R129" i="4"/>
  <c r="H130" i="4"/>
  <c r="M130" i="4"/>
  <c r="N130" i="4"/>
  <c r="O130" i="4"/>
  <c r="P130" i="4"/>
  <c r="R130" i="4"/>
  <c r="T130" i="4"/>
  <c r="H133" i="4"/>
  <c r="T133" i="4" s="1"/>
  <c r="I133" i="4"/>
  <c r="J133" i="4"/>
  <c r="P133" i="4"/>
  <c r="H134" i="4"/>
  <c r="I134" i="4"/>
  <c r="J134" i="4"/>
  <c r="P134" i="4"/>
  <c r="T134" i="4"/>
  <c r="H137" i="4"/>
  <c r="I137" i="4"/>
  <c r="J137" i="4"/>
  <c r="P137" i="4"/>
  <c r="T137" i="4"/>
  <c r="H138" i="4"/>
  <c r="I138" i="4"/>
  <c r="J138" i="4" s="1"/>
  <c r="P138" i="4"/>
  <c r="H139" i="4"/>
  <c r="I139" i="4"/>
  <c r="J139" i="4"/>
  <c r="P139" i="4"/>
  <c r="T139" i="4"/>
  <c r="H142" i="4"/>
  <c r="J142" i="4"/>
  <c r="K142" i="4"/>
  <c r="L142" i="4"/>
  <c r="N142" i="4" s="1"/>
  <c r="O142" i="4"/>
  <c r="P142" i="4"/>
  <c r="Q142" i="4"/>
  <c r="I143" i="4"/>
  <c r="H143" i="4" s="1"/>
  <c r="J143" i="4"/>
  <c r="T143" i="4" s="1"/>
  <c r="K143" i="4"/>
  <c r="N143" i="4" s="1"/>
  <c r="L143" i="4"/>
  <c r="O143" i="4"/>
  <c r="P143" i="4"/>
  <c r="Q143" i="4"/>
  <c r="H144" i="4"/>
  <c r="J144" i="4"/>
  <c r="T144" i="4" s="1"/>
  <c r="K144" i="4"/>
  <c r="L144" i="4"/>
  <c r="N144" i="4"/>
  <c r="O144" i="4"/>
  <c r="P144" i="4"/>
  <c r="Q144" i="4"/>
  <c r="H147" i="4"/>
  <c r="I147" i="4"/>
  <c r="J147" i="4"/>
  <c r="P147" i="4"/>
  <c r="T147" i="4"/>
  <c r="H148" i="4"/>
  <c r="I148" i="4"/>
  <c r="J148" i="4"/>
  <c r="P148" i="4"/>
  <c r="T148" i="4"/>
  <c r="H149" i="4"/>
  <c r="I149" i="4"/>
  <c r="T149" i="4" s="1"/>
  <c r="J149" i="4"/>
  <c r="P149" i="4"/>
  <c r="H152" i="4"/>
  <c r="I152" i="4"/>
  <c r="J152" i="4"/>
  <c r="P152" i="4"/>
  <c r="T152" i="4"/>
  <c r="H153" i="4"/>
  <c r="T153" i="4" s="1"/>
  <c r="I153" i="4"/>
  <c r="J153" i="4"/>
  <c r="P153" i="4"/>
  <c r="H154" i="4"/>
  <c r="I154" i="4"/>
  <c r="J154" i="4"/>
  <c r="P154" i="4"/>
  <c r="T154" i="4"/>
  <c r="H157" i="4"/>
  <c r="I157" i="4"/>
  <c r="P157" i="4"/>
  <c r="T157" i="4"/>
  <c r="H158" i="4"/>
  <c r="I158" i="4"/>
  <c r="T158" i="4" s="1"/>
  <c r="P158" i="4"/>
  <c r="H159" i="4"/>
  <c r="I159" i="4"/>
  <c r="P159" i="4"/>
  <c r="T159" i="4"/>
  <c r="H162" i="4"/>
  <c r="I162" i="4"/>
  <c r="P162" i="4"/>
  <c r="T162" i="4"/>
  <c r="F166" i="4"/>
  <c r="H166" i="4"/>
  <c r="I166" i="4"/>
  <c r="J166" i="4"/>
  <c r="M166" i="4"/>
  <c r="N166" i="4"/>
  <c r="O166" i="4"/>
  <c r="U166" i="4"/>
  <c r="V166" i="4"/>
  <c r="T166" i="4" s="1"/>
  <c r="F167" i="4"/>
  <c r="V167" i="4" s="1"/>
  <c r="T167" i="4" s="1"/>
  <c r="H167" i="4"/>
  <c r="I167" i="4"/>
  <c r="J167" i="4"/>
  <c r="M167" i="4"/>
  <c r="N167" i="4"/>
  <c r="O167" i="4"/>
  <c r="U167" i="4"/>
  <c r="F168" i="4"/>
  <c r="V168" i="4" s="1"/>
  <c r="H168" i="4"/>
  <c r="I168" i="4"/>
  <c r="U168" i="4" s="1"/>
  <c r="J168" i="4"/>
  <c r="M168" i="4"/>
  <c r="N168" i="4"/>
  <c r="O168" i="4"/>
  <c r="F169" i="4"/>
  <c r="I169" i="4"/>
  <c r="U169" i="4" s="1"/>
  <c r="J169" i="4"/>
  <c r="M169" i="4"/>
  <c r="N169" i="4"/>
  <c r="O169" i="4"/>
  <c r="F170" i="4"/>
  <c r="H170" i="4"/>
  <c r="I170" i="4"/>
  <c r="U170" i="4" s="1"/>
  <c r="T170" i="4" s="1"/>
  <c r="J170" i="4"/>
  <c r="M170" i="4"/>
  <c r="N170" i="4"/>
  <c r="O170" i="4"/>
  <c r="V170" i="4"/>
  <c r="F171" i="4"/>
  <c r="H171" i="4"/>
  <c r="I171" i="4"/>
  <c r="J171" i="4"/>
  <c r="M171" i="4"/>
  <c r="N171" i="4"/>
  <c r="O171" i="4"/>
  <c r="U171" i="4"/>
  <c r="V171" i="4"/>
  <c r="T171" i="4" s="1"/>
  <c r="H174" i="4"/>
  <c r="I174" i="4"/>
  <c r="J174" i="4"/>
  <c r="T174" i="4"/>
  <c r="H175" i="4"/>
  <c r="I175" i="4"/>
  <c r="J175" i="4"/>
  <c r="T175" i="4" s="1"/>
  <c r="G176" i="4"/>
  <c r="H176" i="4"/>
  <c r="I176" i="4"/>
  <c r="J176" i="4"/>
  <c r="T176" i="4" s="1"/>
  <c r="H179" i="4"/>
  <c r="I179" i="4"/>
  <c r="J179" i="4"/>
  <c r="T179" i="4" s="1"/>
  <c r="H180" i="4"/>
  <c r="I180" i="4"/>
  <c r="J180" i="4"/>
  <c r="T180" i="4"/>
  <c r="G181" i="4"/>
  <c r="H181" i="4" s="1"/>
  <c r="I181" i="4"/>
  <c r="T181" i="4" s="1"/>
  <c r="J181" i="4"/>
  <c r="G182" i="4"/>
  <c r="H182" i="4"/>
  <c r="I182" i="4"/>
  <c r="J182" i="4"/>
  <c r="T182" i="4"/>
  <c r="F185" i="4"/>
  <c r="G185" i="4"/>
  <c r="H185" i="4"/>
  <c r="J185" i="4"/>
  <c r="K185" i="4"/>
  <c r="M185" i="4" s="1"/>
  <c r="L185" i="4"/>
  <c r="U185" i="4"/>
  <c r="O185" i="4" s="1"/>
  <c r="F186" i="4"/>
  <c r="G186" i="4"/>
  <c r="H186" i="4"/>
  <c r="J186" i="4"/>
  <c r="K186" i="4"/>
  <c r="M186" i="4" s="1"/>
  <c r="L186" i="4"/>
  <c r="U186" i="4"/>
  <c r="O186" i="4" s="1"/>
  <c r="F187" i="4"/>
  <c r="H187" i="4"/>
  <c r="J187" i="4"/>
  <c r="K187" i="4"/>
  <c r="L187" i="4"/>
  <c r="M187" i="4" s="1"/>
  <c r="N187" i="4"/>
  <c r="U187" i="4"/>
  <c r="O187" i="4" s="1"/>
  <c r="T187" i="4" s="1"/>
  <c r="F188" i="4"/>
  <c r="G188" i="4"/>
  <c r="H188" i="4"/>
  <c r="J188" i="4"/>
  <c r="T188" i="4" s="1"/>
  <c r="K188" i="4"/>
  <c r="L188" i="4"/>
  <c r="M188" i="4"/>
  <c r="N188" i="4"/>
  <c r="O188" i="4"/>
  <c r="U188" i="4"/>
  <c r="I191" i="4"/>
  <c r="H191" i="4" s="1"/>
  <c r="M191" i="4"/>
  <c r="N191" i="4"/>
  <c r="O191" i="4"/>
  <c r="P191" i="4"/>
  <c r="R191" i="4"/>
  <c r="T191" i="4"/>
  <c r="H192" i="4"/>
  <c r="I192" i="4"/>
  <c r="O192" i="4" s="1"/>
  <c r="M192" i="4"/>
  <c r="N192" i="4"/>
  <c r="R192" i="4"/>
  <c r="H195" i="4"/>
  <c r="I195" i="4"/>
  <c r="N195" i="4"/>
  <c r="O195" i="4"/>
  <c r="T195" i="4"/>
  <c r="H196" i="4"/>
  <c r="I196" i="4"/>
  <c r="O196" i="4" s="1"/>
  <c r="T196" i="4" s="1"/>
  <c r="N196" i="4"/>
  <c r="H199" i="4"/>
  <c r="K199" i="4"/>
  <c r="L199" i="4"/>
  <c r="M199" i="4"/>
  <c r="N199" i="4"/>
  <c r="O199" i="4"/>
  <c r="R199" i="4"/>
  <c r="T199" i="4" s="1"/>
  <c r="H200" i="4"/>
  <c r="T200" i="4" s="1"/>
  <c r="K200" i="4"/>
  <c r="N200" i="4"/>
  <c r="O200" i="4"/>
  <c r="R200" i="4"/>
  <c r="H201" i="4"/>
  <c r="M201" i="4"/>
  <c r="N201" i="4"/>
  <c r="O201" i="4"/>
  <c r="R201" i="4"/>
  <c r="T201" i="4" s="1"/>
  <c r="H204" i="4"/>
  <c r="T204" i="4" s="1"/>
  <c r="M204" i="4"/>
  <c r="N204" i="4"/>
  <c r="O204" i="4"/>
  <c r="P204" i="4"/>
  <c r="H205" i="4"/>
  <c r="M205" i="4"/>
  <c r="N205" i="4"/>
  <c r="O205" i="4"/>
  <c r="P205" i="4"/>
  <c r="T205" i="4" s="1"/>
  <c r="H208" i="4"/>
  <c r="T208" i="4" s="1"/>
  <c r="J208" i="4"/>
  <c r="M208" i="4"/>
  <c r="N208" i="4"/>
  <c r="O208" i="4"/>
  <c r="P208" i="4"/>
  <c r="H209" i="4"/>
  <c r="M209" i="4"/>
  <c r="N209" i="4"/>
  <c r="O209" i="4"/>
  <c r="P209" i="4"/>
  <c r="T209" i="4"/>
  <c r="H212" i="4"/>
  <c r="I212" i="4"/>
  <c r="M212" i="4"/>
  <c r="N212" i="4"/>
  <c r="O212" i="4"/>
  <c r="P212" i="4"/>
  <c r="T212" i="4"/>
  <c r="H213" i="4"/>
  <c r="I213" i="4"/>
  <c r="M213" i="4"/>
  <c r="N213" i="4"/>
  <c r="O213" i="4"/>
  <c r="T213" i="4" s="1"/>
  <c r="P213" i="4"/>
  <c r="H216" i="4"/>
  <c r="I216" i="4"/>
  <c r="M216" i="4"/>
  <c r="N216" i="4"/>
  <c r="O216" i="4"/>
  <c r="T216" i="4" s="1"/>
  <c r="H217" i="4"/>
  <c r="T217" i="4" s="1"/>
  <c r="I217" i="4"/>
  <c r="O217" i="4" s="1"/>
  <c r="M217" i="4"/>
  <c r="N217" i="4"/>
  <c r="H220" i="4"/>
  <c r="I220" i="4"/>
  <c r="M220" i="4"/>
  <c r="N220" i="4"/>
  <c r="O220" i="4"/>
  <c r="T220" i="4"/>
  <c r="F224" i="4"/>
  <c r="H224" i="4"/>
  <c r="I224" i="4"/>
  <c r="O224" i="4" s="1"/>
  <c r="M224" i="4"/>
  <c r="N224" i="4"/>
  <c r="F225" i="4"/>
  <c r="H225" i="4" s="1"/>
  <c r="T225" i="4" s="1"/>
  <c r="I225" i="4"/>
  <c r="M225" i="4"/>
  <c r="N225" i="4"/>
  <c r="O225" i="4"/>
  <c r="F226" i="4"/>
  <c r="H226" i="4"/>
  <c r="T226" i="4" s="1"/>
  <c r="I226" i="4"/>
  <c r="M226" i="4"/>
  <c r="N226" i="4"/>
  <c r="O226" i="4"/>
  <c r="F227" i="4"/>
  <c r="H227" i="4"/>
  <c r="I227" i="4"/>
  <c r="M227" i="4"/>
  <c r="N227" i="4"/>
  <c r="O227" i="4"/>
  <c r="T227" i="4"/>
  <c r="H230" i="4"/>
  <c r="I230" i="4"/>
  <c r="O230" i="4" s="1"/>
  <c r="M230" i="4"/>
  <c r="N230" i="4"/>
  <c r="H231" i="4"/>
  <c r="I231" i="4"/>
  <c r="M231" i="4"/>
  <c r="N231" i="4"/>
  <c r="O231" i="4"/>
  <c r="T231" i="4"/>
  <c r="H232" i="4"/>
  <c r="I232" i="4"/>
  <c r="O232" i="4" s="1"/>
  <c r="M232" i="4"/>
  <c r="N232" i="4"/>
  <c r="H233" i="4"/>
  <c r="I233" i="4"/>
  <c r="M233" i="4"/>
  <c r="N233" i="4"/>
  <c r="O233" i="4"/>
  <c r="T233" i="4"/>
  <c r="H236" i="4"/>
  <c r="I236" i="4"/>
  <c r="J236" i="4"/>
  <c r="M236" i="4"/>
  <c r="N236" i="4"/>
  <c r="O236" i="4"/>
  <c r="T236" i="4"/>
  <c r="H237" i="4"/>
  <c r="I237" i="4"/>
  <c r="T237" i="4" s="1"/>
  <c r="J237" i="4"/>
  <c r="M237" i="4"/>
  <c r="N237" i="4"/>
  <c r="O237" i="4"/>
  <c r="H238" i="4"/>
  <c r="I238" i="4"/>
  <c r="J238" i="4"/>
  <c r="M238" i="4"/>
  <c r="N238" i="4"/>
  <c r="O238" i="4"/>
  <c r="T238" i="4"/>
  <c r="H239" i="4"/>
  <c r="T239" i="4" s="1"/>
  <c r="I239" i="4"/>
  <c r="J239" i="4"/>
  <c r="M239" i="4"/>
  <c r="N239" i="4"/>
  <c r="O239" i="4"/>
  <c r="H242" i="4"/>
  <c r="I242" i="4"/>
  <c r="J242" i="4"/>
  <c r="M242" i="4"/>
  <c r="N242" i="4"/>
  <c r="O242" i="4"/>
  <c r="T242" i="4" s="1"/>
  <c r="H243" i="4"/>
  <c r="T243" i="4" s="1"/>
  <c r="I243" i="4"/>
  <c r="J243" i="4"/>
  <c r="M243" i="4"/>
  <c r="N243" i="4"/>
  <c r="O243" i="4"/>
  <c r="H244" i="4"/>
  <c r="T244" i="4" s="1"/>
  <c r="I244" i="4"/>
  <c r="J244" i="4"/>
  <c r="M244" i="4"/>
  <c r="N244" i="4"/>
  <c r="O244" i="4"/>
  <c r="H248" i="4"/>
  <c r="I248" i="4"/>
  <c r="P248" i="4"/>
  <c r="Q248" i="4"/>
  <c r="T248" i="4"/>
  <c r="H251" i="4"/>
  <c r="I251" i="4"/>
  <c r="P251" i="4"/>
  <c r="Q251" i="4"/>
  <c r="H252" i="4"/>
  <c r="I252" i="4"/>
  <c r="P252" i="4"/>
  <c r="Q252" i="4"/>
  <c r="H253" i="4"/>
  <c r="I253" i="4"/>
  <c r="P253" i="4"/>
  <c r="Q253" i="4"/>
  <c r="H256" i="4"/>
  <c r="T256" i="4" s="1"/>
  <c r="K256" i="4"/>
  <c r="L256" i="4"/>
  <c r="M256" i="4"/>
  <c r="N256" i="4"/>
  <c r="O256" i="4"/>
  <c r="P256" i="4"/>
  <c r="Q256" i="4"/>
  <c r="R256" i="4"/>
  <c r="H257" i="4"/>
  <c r="K257" i="4"/>
  <c r="L257" i="4"/>
  <c r="M257" i="4" s="1"/>
  <c r="N257" i="4"/>
  <c r="O257" i="4"/>
  <c r="T257" i="4" s="1"/>
  <c r="P257" i="4"/>
  <c r="Q257" i="4"/>
  <c r="R257" i="4"/>
  <c r="H260" i="4"/>
  <c r="M260" i="4"/>
  <c r="N260" i="4"/>
  <c r="O260" i="4"/>
  <c r="P260" i="4"/>
  <c r="R260" i="4"/>
  <c r="T260" i="4"/>
  <c r="H261" i="4"/>
  <c r="M261" i="4"/>
  <c r="N261" i="4"/>
  <c r="T261" i="4" s="1"/>
  <c r="O261" i="4"/>
  <c r="P261" i="4"/>
  <c r="R261" i="4"/>
  <c r="H262" i="4"/>
  <c r="K262" i="4"/>
  <c r="L262" i="4"/>
  <c r="N262" i="4" s="1"/>
  <c r="T262" i="4" s="1"/>
  <c r="O262" i="4"/>
  <c r="P262" i="4"/>
  <c r="R262" i="4"/>
  <c r="F266" i="4"/>
  <c r="G266" i="4"/>
  <c r="H266" i="4" s="1"/>
  <c r="T266" i="4" s="1"/>
  <c r="K266" i="4"/>
  <c r="L266" i="4"/>
  <c r="M266" i="4"/>
  <c r="N266" i="4"/>
  <c r="O266" i="4"/>
  <c r="P266" i="4"/>
  <c r="Q266" i="4"/>
  <c r="F267" i="4"/>
  <c r="H267" i="4" s="1"/>
  <c r="K267" i="4"/>
  <c r="M267" i="4" s="1"/>
  <c r="L267" i="4"/>
  <c r="O267" i="4"/>
  <c r="P267" i="4"/>
  <c r="Q267" i="4"/>
  <c r="F268" i="4"/>
  <c r="H268" i="4"/>
  <c r="K268" i="4"/>
  <c r="M268" i="4" s="1"/>
  <c r="L268" i="4"/>
  <c r="O268" i="4"/>
  <c r="P268" i="4"/>
  <c r="Q268" i="4"/>
  <c r="F271" i="4"/>
  <c r="G271" i="4"/>
  <c r="H271" i="4"/>
  <c r="J271" i="4"/>
  <c r="K271" i="4"/>
  <c r="M271" i="4" s="1"/>
  <c r="L271" i="4"/>
  <c r="O271" i="4"/>
  <c r="P271" i="4"/>
  <c r="Q271" i="4"/>
  <c r="F272" i="4"/>
  <c r="G272" i="4"/>
  <c r="H272" i="4"/>
  <c r="J272" i="4"/>
  <c r="K272" i="4"/>
  <c r="M272" i="4" s="1"/>
  <c r="L272" i="4"/>
  <c r="O272" i="4"/>
  <c r="P272" i="4"/>
  <c r="Q272" i="4"/>
  <c r="F273" i="4"/>
  <c r="H273" i="4"/>
  <c r="J273" i="4"/>
  <c r="K273" i="4"/>
  <c r="M273" i="4" s="1"/>
  <c r="L273" i="4"/>
  <c r="O273" i="4"/>
  <c r="P273" i="4"/>
  <c r="Q273" i="4"/>
  <c r="F274" i="4"/>
  <c r="H274" i="4" s="1"/>
  <c r="T274" i="4" s="1"/>
  <c r="J274" i="4"/>
  <c r="K274" i="4"/>
  <c r="N274" i="4" s="1"/>
  <c r="L274" i="4"/>
  <c r="M274" i="4"/>
  <c r="O274" i="4"/>
  <c r="P274" i="4"/>
  <c r="Q274" i="4"/>
  <c r="H277" i="4"/>
  <c r="I277" i="4"/>
  <c r="M277" i="4"/>
  <c r="N277" i="4"/>
  <c r="O277" i="4"/>
  <c r="T277" i="4"/>
  <c r="H278" i="4"/>
  <c r="I278" i="4"/>
  <c r="K278" i="4"/>
  <c r="M278" i="4" s="1"/>
  <c r="O278" i="4"/>
  <c r="G281" i="4"/>
  <c r="H281" i="4" s="1"/>
  <c r="T281" i="4" s="1"/>
  <c r="M281" i="4"/>
  <c r="N281" i="4"/>
  <c r="O281" i="4"/>
  <c r="P281" i="4"/>
  <c r="Q281" i="4"/>
  <c r="H282" i="4"/>
  <c r="K282" i="4"/>
  <c r="M282" i="4" s="1"/>
  <c r="N282" i="4"/>
  <c r="O282" i="4"/>
  <c r="P282" i="4"/>
  <c r="Q282" i="4"/>
  <c r="T282" i="4"/>
  <c r="H285" i="4"/>
  <c r="T285" i="4" s="1"/>
  <c r="I285" i="4"/>
  <c r="P285" i="4"/>
  <c r="Q285" i="4"/>
  <c r="H286" i="4"/>
  <c r="I286" i="4"/>
  <c r="P286" i="4"/>
  <c r="Q286" i="4"/>
  <c r="T286" i="4"/>
  <c r="H287" i="4"/>
  <c r="T287" i="4" s="1"/>
  <c r="I287" i="4"/>
  <c r="P287" i="4"/>
  <c r="Q287" i="4"/>
  <c r="H290" i="4"/>
  <c r="I290" i="4"/>
  <c r="P290" i="4"/>
  <c r="Q290" i="4"/>
  <c r="T290" i="4"/>
  <c r="H294" i="4"/>
  <c r="N294" i="4"/>
  <c r="O294" i="4"/>
  <c r="P294" i="4"/>
  <c r="Q294" i="4"/>
  <c r="T294" i="4"/>
  <c r="H297" i="4"/>
  <c r="M297" i="4"/>
  <c r="N297" i="4"/>
  <c r="O297" i="4"/>
  <c r="P297" i="4"/>
  <c r="Q297" i="4"/>
  <c r="T297" i="4"/>
  <c r="H301" i="4"/>
  <c r="T301" i="4" s="1"/>
  <c r="I301" i="4"/>
  <c r="J301" i="4"/>
  <c r="N301" i="4"/>
  <c r="O301" i="4"/>
  <c r="P301" i="4"/>
  <c r="Q301" i="4"/>
  <c r="H302" i="4"/>
  <c r="I302" i="4"/>
  <c r="J302" i="4"/>
  <c r="K302" i="4"/>
  <c r="N302" i="4" s="1"/>
  <c r="T302" i="4" s="1"/>
  <c r="O302" i="4"/>
  <c r="P302" i="4"/>
  <c r="Q302" i="4"/>
  <c r="H303" i="4"/>
  <c r="I303" i="4"/>
  <c r="J303" i="4"/>
  <c r="K303" i="4"/>
  <c r="M303" i="4" s="1"/>
  <c r="N303" i="4"/>
  <c r="O303" i="4"/>
  <c r="P303" i="4"/>
  <c r="Q303" i="4"/>
  <c r="T303" i="4"/>
  <c r="H306" i="4"/>
  <c r="I306" i="4"/>
  <c r="J306" i="4"/>
  <c r="M306" i="4"/>
  <c r="P306" i="4"/>
  <c r="Q306" i="4"/>
  <c r="H309" i="4"/>
  <c r="I309" i="4"/>
  <c r="M309" i="4"/>
  <c r="N309" i="4"/>
  <c r="O309" i="4"/>
  <c r="P309" i="4"/>
  <c r="Q309" i="4"/>
  <c r="T309" i="4"/>
  <c r="H310" i="4"/>
  <c r="I310" i="4"/>
  <c r="M310" i="4"/>
  <c r="N310" i="4"/>
  <c r="O310" i="4"/>
  <c r="P310" i="4"/>
  <c r="Q310" i="4"/>
  <c r="U310" i="4"/>
  <c r="T310" i="4" s="1"/>
  <c r="H311" i="4"/>
  <c r="I311" i="4"/>
  <c r="M311" i="4"/>
  <c r="N311" i="4"/>
  <c r="O311" i="4"/>
  <c r="T311" i="4" s="1"/>
  <c r="P311" i="4"/>
  <c r="Q311" i="4"/>
  <c r="H312" i="4"/>
  <c r="I312" i="4"/>
  <c r="M312" i="4"/>
  <c r="N312" i="4"/>
  <c r="O312" i="4"/>
  <c r="T312" i="4" s="1"/>
  <c r="P312" i="4"/>
  <c r="Q312" i="4"/>
  <c r="H315" i="4"/>
  <c r="I315" i="4"/>
  <c r="T315" i="4" s="1"/>
  <c r="P315" i="4"/>
  <c r="I316" i="4"/>
  <c r="H316" i="4" s="1"/>
  <c r="T316" i="4" s="1"/>
  <c r="M316" i="4"/>
  <c r="N316" i="4"/>
  <c r="P316" i="4"/>
  <c r="H317" i="4"/>
  <c r="T317" i="4" s="1"/>
  <c r="I317" i="4"/>
  <c r="M317" i="4"/>
  <c r="N317" i="4"/>
  <c r="O317" i="4"/>
  <c r="P317" i="4"/>
  <c r="H320" i="4"/>
  <c r="T320" i="4" s="1"/>
  <c r="I320" i="4"/>
  <c r="N320" i="4"/>
  <c r="O320" i="4"/>
  <c r="P320" i="4"/>
  <c r="Q320" i="4"/>
  <c r="H321" i="4"/>
  <c r="I321" i="4"/>
  <c r="M321" i="4"/>
  <c r="N321" i="4"/>
  <c r="O321" i="4"/>
  <c r="P321" i="4"/>
  <c r="Q321" i="4"/>
  <c r="T321" i="4"/>
  <c r="H322" i="4"/>
  <c r="I322" i="4"/>
  <c r="M322" i="4"/>
  <c r="N322" i="4"/>
  <c r="O322" i="4"/>
  <c r="T322" i="4" s="1"/>
  <c r="P322" i="4"/>
  <c r="Q322" i="4"/>
  <c r="H325" i="4"/>
  <c r="M325" i="4"/>
  <c r="N325" i="4"/>
  <c r="O325" i="4"/>
  <c r="P325" i="4"/>
  <c r="R325" i="4"/>
  <c r="T325" i="4"/>
  <c r="H326" i="4"/>
  <c r="M326" i="4"/>
  <c r="N326" i="4"/>
  <c r="O326" i="4"/>
  <c r="P326" i="4"/>
  <c r="R326" i="4"/>
  <c r="T326" i="4"/>
  <c r="H327" i="4"/>
  <c r="T327" i="4" s="1"/>
  <c r="N327" i="4"/>
  <c r="O327" i="4"/>
  <c r="P327" i="4"/>
  <c r="R327" i="4"/>
  <c r="H330" i="4"/>
  <c r="M330" i="4"/>
  <c r="N330" i="4"/>
  <c r="O330" i="4"/>
  <c r="P330" i="4"/>
  <c r="T330" i="4"/>
  <c r="H331" i="4"/>
  <c r="N331" i="4"/>
  <c r="O331" i="4"/>
  <c r="P331" i="4"/>
  <c r="T331" i="4"/>
  <c r="H332" i="4"/>
  <c r="M332" i="4"/>
  <c r="N332" i="4"/>
  <c r="O332" i="4"/>
  <c r="P332" i="4"/>
  <c r="T332" i="4"/>
  <c r="H335" i="4"/>
  <c r="I335" i="4"/>
  <c r="J335" i="4"/>
  <c r="P335" i="4"/>
  <c r="H336" i="4"/>
  <c r="I336" i="4"/>
  <c r="J336" i="4"/>
  <c r="P336" i="4"/>
  <c r="T28" i="4" l="1"/>
  <c r="T17" i="4"/>
  <c r="T224" i="4"/>
  <c r="T278" i="4"/>
  <c r="T142" i="4"/>
  <c r="T50" i="4"/>
  <c r="T19" i="4"/>
  <c r="V169" i="4"/>
  <c r="T169" i="4" s="1"/>
  <c r="T168" i="4"/>
  <c r="T272" i="4"/>
  <c r="T185" i="4"/>
  <c r="U88" i="4"/>
  <c r="T88" i="4"/>
  <c r="T192" i="4"/>
  <c r="T70" i="4"/>
  <c r="T57" i="4"/>
  <c r="T12" i="4"/>
  <c r="H169" i="4"/>
  <c r="U73" i="4"/>
  <c r="T73" i="4" s="1"/>
  <c r="T232" i="4"/>
  <c r="T230" i="4"/>
  <c r="N267" i="4"/>
  <c r="T267" i="4" s="1"/>
  <c r="T138" i="4"/>
  <c r="N20" i="4"/>
  <c r="T20" i="4" s="1"/>
  <c r="U87" i="4"/>
  <c r="N278" i="4"/>
  <c r="N272" i="4"/>
  <c r="N271" i="4"/>
  <c r="T271" i="4" s="1"/>
  <c r="N268" i="4"/>
  <c r="T268" i="4" s="1"/>
  <c r="N185" i="4"/>
  <c r="N58" i="4"/>
  <c r="T58" i="4" s="1"/>
  <c r="N49" i="4"/>
  <c r="T49" i="4" s="1"/>
  <c r="N44" i="4"/>
  <c r="T44" i="4" s="1"/>
  <c r="N31" i="4"/>
  <c r="T31" i="4" s="1"/>
  <c r="N18" i="4"/>
  <c r="T18" i="4" s="1"/>
  <c r="N273" i="4"/>
  <c r="T273" i="4" s="1"/>
  <c r="N186" i="4"/>
  <c r="T186" i="4" s="1"/>
  <c r="N124" i="4"/>
  <c r="T124" i="4" s="1"/>
</calcChain>
</file>

<file path=xl/sharedStrings.xml><?xml version="1.0" encoding="utf-8"?>
<sst xmlns="http://schemas.openxmlformats.org/spreadsheetml/2006/main" count="2610" uniqueCount="439">
  <si>
    <t>说明书 Introduction</t>
  </si>
  <si>
    <r>
      <t xml:space="preserve">
</t>
    </r>
    <r>
      <rPr>
        <sz val="12"/>
        <color indexed="30"/>
        <rFont val="宋体"/>
        <charset val="134"/>
      </rPr>
      <t>1.圣遗物副词条</t>
    </r>
    <r>
      <rPr>
        <sz val="12"/>
        <color indexed="10"/>
        <rFont val="宋体"/>
        <charset val="134"/>
      </rPr>
      <t xml:space="preserve">
①24词条毕业水准，大前提为养成周期30天；
</t>
    </r>
    <r>
      <rPr>
        <sz val="12"/>
        <rFont val="宋体"/>
        <charset val="134"/>
      </rPr>
      <t>②词条数分配双暴18条；
③主要有效属性6条（如，大攻击，大防御等）；
④有一种次要有效属性额外补4条（如，胡桃80精通）；
⑤有两种次要有效属性总共补3+3条（如，香菱）；
⑥单有效词条角色，14条（如心海的大生命）；
⑦三精通风系角色，花和羽毛总计8条精通。</t>
    </r>
    <r>
      <rPr>
        <sz val="12"/>
        <color indexed="10"/>
        <rFont val="宋体"/>
        <charset val="134"/>
      </rPr>
      <t xml:space="preserve">
</t>
    </r>
  </si>
  <si>
    <r>
      <t xml:space="preserve">2.装备、命座
</t>
    </r>
    <r>
      <rPr>
        <sz val="12"/>
        <rFont val="宋体"/>
        <charset val="134"/>
      </rPr>
      <t>①武器角色皆为90级
②五星武器默认精1；
③四星祈愿/活动武器默认精5；
④四星锻造/纪行武器默认精3；
⑤五星角色默认0命，四星角色默认6命。</t>
    </r>
  </si>
  <si>
    <r>
      <t xml:space="preserve">3.天赋等级
</t>
    </r>
    <r>
      <rPr>
        <sz val="12"/>
        <rFont val="宋体"/>
        <charset val="134"/>
      </rPr>
      <t>①技能加点在优先级正确为前提
②每个角色三个天赋等级分别为10、9、8（+3）；
③理性思考，皇冠收益不满意的技能不点满；
④没必要升的技能写6级表示诚意（如，万叶E）；
⑤完全无用的技能写2级刷存在感（如，雷神A）。</t>
    </r>
  </si>
  <si>
    <r>
      <t xml:space="preserve">
4.面板细则
</t>
    </r>
    <r>
      <rPr>
        <sz val="12"/>
        <rFont val="宋体"/>
        <charset val="134"/>
      </rPr>
      <t>①非冰系面板暴率计80%为上限，多余部分换算为等额暴伤；
②规定在突破、天赋、武器等都不加暴率的情况下，面板至多70%暴率（如护摩胡桃）；
③冰系考虑双冰、冰套考虑冻结。现有面板再加上这些buff后，以暴率90%封顶，甘雨蓄力箭100%暴率封顶；
④表格中的是面板值，若无特别说明则已隐藏buff值；
⑤若双暴对该角色没有意义，用any（任意）表示。</t>
    </r>
    <r>
      <rPr>
        <sz val="12"/>
        <color indexed="30"/>
        <rFont val="宋体"/>
        <charset val="134"/>
      </rPr>
      <t xml:space="preserve">
</t>
    </r>
  </si>
  <si>
    <r>
      <t>5.伤害/数值预估细则</t>
    </r>
    <r>
      <rPr>
        <sz val="12"/>
        <rFont val="宋体"/>
        <charset val="134"/>
      </rPr>
      <t xml:space="preserve">
①默认已暴击；给出的是暴击时伤害（因为比期望直观）；
②取一种容易实测且有实战评估价值的动作做数值预估；
③怪物模型：90级，10%抗性；</t>
    </r>
  </si>
  <si>
    <t>④岩系护盾的盾值计入了普遍生效的150%吸收量。钟离计入千岩4给全队提供的30%护盾强效，其余情况默认为基础盾值；
⑤烟绯是四层重击，可莉带金花；</t>
  </si>
  <si>
    <t>⑥结合实战经验，伤害预估时，不计狼末被动，岩系武器计带盾满层。
⑦香菱实战常绑班尼特，所以这里伤害是计入点赞+1202攻击的伤害，但面板计双火隐藏点赞buff。</t>
  </si>
  <si>
    <t>⑧流浪乐章算触发一种有效的被动；                        ⑨饰金4在数值预估时算14%攻击和100精通；</t>
  </si>
  <si>
    <t>角色</t>
  </si>
  <si>
    <t>武器</t>
  </si>
  <si>
    <t>套装</t>
  </si>
  <si>
    <t>主词条</t>
  </si>
  <si>
    <t>技能</t>
  </si>
  <si>
    <t>角色白值</t>
  </si>
  <si>
    <t>武器白值</t>
  </si>
  <si>
    <t>实际攻击</t>
  </si>
  <si>
    <t>生命</t>
  </si>
  <si>
    <t>元素精通</t>
  </si>
  <si>
    <t>额外暴率</t>
  </si>
  <si>
    <t>额外暴伤</t>
  </si>
  <si>
    <t>暴率</t>
  </si>
  <si>
    <t>暴伤</t>
  </si>
  <si>
    <t>增伤</t>
  </si>
  <si>
    <t>防御区</t>
  </si>
  <si>
    <t>抗性区</t>
  </si>
  <si>
    <t>倍率</t>
  </si>
  <si>
    <t>动作</t>
  </si>
  <si>
    <t>数值预估</t>
  </si>
  <si>
    <t>胡桃</t>
  </si>
  <si>
    <t>护摩之杖</t>
  </si>
  <si>
    <t>追忆4</t>
  </si>
  <si>
    <t>生火暴</t>
  </si>
  <si>
    <t>10/9/8</t>
  </si>
  <si>
    <t>重击蒸发</t>
  </si>
  <si>
    <t>精火暴</t>
  </si>
  <si>
    <t>匣里灭辰</t>
  </si>
  <si>
    <t>决斗之枪</t>
  </si>
  <si>
    <t>魔女4</t>
  </si>
  <si>
    <t>充能效率</t>
  </si>
  <si>
    <t>托马</t>
  </si>
  <si>
    <t>西风长枪</t>
  </si>
  <si>
    <t>2旗印2千岩</t>
  </si>
  <si>
    <t>充生暴</t>
  </si>
  <si>
    <t>2/12/11</t>
  </si>
  <si>
    <t>any</t>
  </si>
  <si>
    <t>/</t>
  </si>
  <si>
    <t>满层护盾</t>
  </si>
  <si>
    <t>黑缨枪</t>
  </si>
  <si>
    <t>充生生</t>
  </si>
  <si>
    <t>宵宫</t>
  </si>
  <si>
    <t>飞雷之弦振</t>
  </si>
  <si>
    <t>攻火暴</t>
  </si>
  <si>
    <t>10/9/7</t>
  </si>
  <si>
    <t>开E首箭</t>
  </si>
  <si>
    <t>弓藏</t>
  </si>
  <si>
    <t>烟绯</t>
  </si>
  <si>
    <t>四风原典</t>
  </si>
  <si>
    <t>乐团4</t>
  </si>
  <si>
    <t>10/10/12</t>
  </si>
  <si>
    <t>开Q重击蒸发</t>
  </si>
  <si>
    <t>流浪乐章</t>
  </si>
  <si>
    <t>可莉</t>
  </si>
  <si>
    <t>金花重击蒸发</t>
  </si>
  <si>
    <t>迪卢克</t>
  </si>
  <si>
    <t>狼的末路</t>
  </si>
  <si>
    <t>Q蒸发</t>
  </si>
  <si>
    <t>螭骨剑</t>
  </si>
  <si>
    <t>防御力</t>
  </si>
  <si>
    <t>辛焱</t>
  </si>
  <si>
    <t>无工之剑</t>
  </si>
  <si>
    <t>2苍白2骑士</t>
  </si>
  <si>
    <t>攻物暴</t>
  </si>
  <si>
    <t>9/10/13</t>
  </si>
  <si>
    <t>Q横扫</t>
  </si>
  <si>
    <t>白影剑</t>
  </si>
  <si>
    <t>祭礼大剑</t>
  </si>
  <si>
    <t>千岩4</t>
  </si>
  <si>
    <t>防防防</t>
  </si>
  <si>
    <t>6/12/11</t>
  </si>
  <si>
    <t>E盾值</t>
  </si>
  <si>
    <t>安柏</t>
  </si>
  <si>
    <t>终末嗟叹之诗</t>
  </si>
  <si>
    <t>宗室4</t>
  </si>
  <si>
    <t>10/11/12</t>
  </si>
  <si>
    <t>Q总共</t>
  </si>
  <si>
    <t>阿莫斯之弓</t>
  </si>
  <si>
    <t>蓄力蒸发</t>
  </si>
  <si>
    <t>香菱</t>
  </si>
  <si>
    <t>薙草之稻光</t>
  </si>
  <si>
    <t>旗印4</t>
  </si>
  <si>
    <t>充火暴</t>
  </si>
  <si>
    <t>2/11/13</t>
  </si>
  <si>
    <t>Q踩班蒸发</t>
  </si>
  <si>
    <t>天空之脊</t>
  </si>
  <si>
    <t>渔获</t>
  </si>
  <si>
    <t>班尼特</t>
  </si>
  <si>
    <t>风鹰剑</t>
  </si>
  <si>
    <t>天空之刃</t>
  </si>
  <si>
    <t>生命值</t>
  </si>
  <si>
    <t>充生治</t>
  </si>
  <si>
    <t>Q治疗</t>
  </si>
  <si>
    <t>实际精通</t>
  </si>
  <si>
    <t>实际生命</t>
  </si>
  <si>
    <t>妮露</t>
  </si>
  <si>
    <t>圣显之钥</t>
  </si>
  <si>
    <t>2千岩2乐团</t>
  </si>
  <si>
    <t>生生生</t>
  </si>
  <si>
    <t>2/8/9</t>
  </si>
  <si>
    <t>丰穰之核</t>
  </si>
  <si>
    <t>磐岩结绿</t>
  </si>
  <si>
    <t>西福斯的月光</t>
  </si>
  <si>
    <t>坎蒂丝</t>
  </si>
  <si>
    <t>生生暴</t>
  </si>
  <si>
    <t>2/10/11</t>
  </si>
  <si>
    <t>Q水波</t>
  </si>
  <si>
    <t>喜多院十文字</t>
  </si>
  <si>
    <t>生命值3</t>
  </si>
  <si>
    <t>夜兰</t>
  </si>
  <si>
    <t>若水</t>
  </si>
  <si>
    <t>绝缘4</t>
  </si>
  <si>
    <t>充水暴</t>
  </si>
  <si>
    <t>8/9/10</t>
  </si>
  <si>
    <t>Q协同</t>
  </si>
  <si>
    <t>生水暴</t>
  </si>
  <si>
    <t>西风猎弓</t>
  </si>
  <si>
    <t>无余响</t>
  </si>
  <si>
    <t>神里绫人</t>
  </si>
  <si>
    <t>波乱月白经津</t>
  </si>
  <si>
    <t>余响4</t>
  </si>
  <si>
    <t>攻水暴</t>
  </si>
  <si>
    <t>6/10/9</t>
  </si>
  <si>
    <t>E首刀+余响/无</t>
  </si>
  <si>
    <t>沉沦4</t>
  </si>
  <si>
    <t>E首刀+沉沦4</t>
  </si>
  <si>
    <t>黑剑</t>
  </si>
  <si>
    <t>治疗加成</t>
  </si>
  <si>
    <t>珊瑚宫心海</t>
  </si>
  <si>
    <t>不灭月华</t>
  </si>
  <si>
    <t>海染4</t>
  </si>
  <si>
    <t>生水治</t>
  </si>
  <si>
    <t>6/8/10</t>
  </si>
  <si>
    <t>开Q普攻</t>
  </si>
  <si>
    <t>试做金珀</t>
  </si>
  <si>
    <t>讨龙英杰谭</t>
  </si>
  <si>
    <t>生生治</t>
  </si>
  <si>
    <t>6/9/8</t>
  </si>
  <si>
    <t>水母回血</t>
  </si>
  <si>
    <t>达达利亚</t>
  </si>
  <si>
    <t>冬极百星</t>
  </si>
  <si>
    <t>2沉沦2乐团</t>
  </si>
  <si>
    <t>2/10/9</t>
  </si>
  <si>
    <t>近战Q蒸发</t>
  </si>
  <si>
    <t>2沉沦2角斗</t>
  </si>
  <si>
    <t>天空之翼</t>
  </si>
  <si>
    <t>苍翠猎弓</t>
  </si>
  <si>
    <t>行秋</t>
  </si>
  <si>
    <t>祭礼剑</t>
  </si>
  <si>
    <t>2沉沦2宗室</t>
  </si>
  <si>
    <t>2/12/13</t>
  </si>
  <si>
    <t>Q剑雨</t>
  </si>
  <si>
    <t>莫娜</t>
  </si>
  <si>
    <t>Q暴击蒸发</t>
  </si>
  <si>
    <t>Q暴击</t>
  </si>
  <si>
    <t>芭芭拉</t>
  </si>
  <si>
    <t>少女4</t>
  </si>
  <si>
    <t>6/12/12</t>
  </si>
  <si>
    <t>Q瞬抬</t>
  </si>
  <si>
    <t>流浪者</t>
  </si>
  <si>
    <t>图莱杜拉的回忆</t>
  </si>
  <si>
    <t>沙楼4</t>
  </si>
  <si>
    <t>攻风暴</t>
  </si>
  <si>
    <t>开E普攻一段</t>
  </si>
  <si>
    <t>（触发沙楼，叠满专武）</t>
  </si>
  <si>
    <t>（四风算满）</t>
  </si>
  <si>
    <t>（攻击buff）</t>
  </si>
  <si>
    <t>珐露珊</t>
  </si>
  <si>
    <t>翠绿4</t>
  </si>
  <si>
    <t>充风暴</t>
  </si>
  <si>
    <t>6/12/13</t>
  </si>
  <si>
    <t>Q烈风波</t>
  </si>
  <si>
    <t>鹿野院平藏</t>
  </si>
  <si>
    <t>天空之卷</t>
  </si>
  <si>
    <t>8/13/11</t>
  </si>
  <si>
    <t>满豪意轰拳</t>
  </si>
  <si>
    <t>匣里日月</t>
  </si>
  <si>
    <t>早柚</t>
  </si>
  <si>
    <t>精攻治</t>
  </si>
  <si>
    <t>Q每次治疗</t>
  </si>
  <si>
    <t>西风大剑</t>
  </si>
  <si>
    <t>枫原万叶</t>
  </si>
  <si>
    <t>苍古自由之誓</t>
  </si>
  <si>
    <t>精精精</t>
  </si>
  <si>
    <t>6/6/6</t>
  </si>
  <si>
    <t>扩散</t>
  </si>
  <si>
    <t>西斯福的月光</t>
  </si>
  <si>
    <t>魈</t>
  </si>
  <si>
    <t>和璞鸢</t>
  </si>
  <si>
    <t>辰砂4</t>
  </si>
  <si>
    <t>10/8/9</t>
  </si>
  <si>
    <t>开大首插</t>
  </si>
  <si>
    <t>温迪</t>
  </si>
  <si>
    <t>绝弦</t>
  </si>
  <si>
    <t>充精精</t>
  </si>
  <si>
    <t>琴</t>
  </si>
  <si>
    <t>天目影打刀</t>
  </si>
  <si>
    <t>攻攻治</t>
  </si>
  <si>
    <t>6/9/10</t>
  </si>
  <si>
    <t>西风剑</t>
  </si>
  <si>
    <t>充攻治</t>
  </si>
  <si>
    <t>砂糖</t>
  </si>
  <si>
    <t>祭礼残章</t>
  </si>
  <si>
    <t>空/荧（风）</t>
  </si>
  <si>
    <t>攻击力</t>
  </si>
  <si>
    <t>赛诺</t>
  </si>
  <si>
    <t>赤沙之杖</t>
  </si>
  <si>
    <t>饰金4</t>
  </si>
  <si>
    <t>精雷暴</t>
  </si>
  <si>
    <t>2/9/10</t>
  </si>
  <si>
    <t>E「裁定」激化</t>
  </si>
  <si>
    <t>攻雷暴</t>
  </si>
  <si>
    <t>如雷4</t>
  </si>
  <si>
    <t>多莉</t>
  </si>
  <si>
    <t>2/10/12</t>
  </si>
  <si>
    <t>Q治疗每跳</t>
  </si>
  <si>
    <t>钟剑</t>
  </si>
  <si>
    <t>久岐忍</t>
  </si>
  <si>
    <t>2/12/10</t>
  </si>
  <si>
    <t>E半血治疗</t>
  </si>
  <si>
    <t>精精治</t>
  </si>
  <si>
    <t>八重神子</t>
  </si>
  <si>
    <t>神乐之真意</t>
  </si>
  <si>
    <t>2如雷2角斗</t>
  </si>
  <si>
    <t>杀生樱落雷</t>
  </si>
  <si>
    <t>雷电将军</t>
  </si>
  <si>
    <t>充雷暴</t>
  </si>
  <si>
    <t>Q满层拔刀</t>
  </si>
  <si>
    <t>充攻暴</t>
  </si>
  <si>
    <t>九条裟罗</t>
  </si>
  <si>
    <t>6/13/12</t>
  </si>
  <si>
    <t>Q吃乌羽</t>
  </si>
  <si>
    <t>祭礼弓</t>
  </si>
  <si>
    <t>刻晴</t>
  </si>
  <si>
    <t>雾切之回光</t>
  </si>
  <si>
    <t>重击</t>
  </si>
  <si>
    <t>匣里龙吟</t>
  </si>
  <si>
    <t>雷泽</t>
  </si>
  <si>
    <t>角斗4</t>
  </si>
  <si>
    <t>普攻一段</t>
  </si>
  <si>
    <t>菲谢尔</t>
  </si>
  <si>
    <t>2/13/11</t>
  </si>
  <si>
    <t>奥兹攻击</t>
  </si>
  <si>
    <t>丽莎</t>
  </si>
  <si>
    <t>2雷2角斗</t>
  </si>
  <si>
    <t>8/13/12</t>
  </si>
  <si>
    <t>满层E</t>
  </si>
  <si>
    <t>8/12/13</t>
  </si>
  <si>
    <t>Q每段</t>
  </si>
  <si>
    <t>北斗</t>
  </si>
  <si>
    <t>Q闪电链</t>
  </si>
  <si>
    <t>空/荧（雷）</t>
  </si>
  <si>
    <t>勾玉加充能</t>
  </si>
  <si>
    <t>纳西妲</t>
  </si>
  <si>
    <t>千夜浮梦</t>
  </si>
  <si>
    <t>深林4</t>
  </si>
  <si>
    <t>激化灭净三业</t>
  </si>
  <si>
    <t>精精暴</t>
  </si>
  <si>
    <t>流浪的晚星</t>
  </si>
  <si>
    <t>提纳里</t>
  </si>
  <si>
    <t>猎人之径</t>
  </si>
  <si>
    <t>精草暴</t>
  </si>
  <si>
    <t>激化藏蕴矢</t>
  </si>
  <si>
    <t>柯莱</t>
  </si>
  <si>
    <t>攻草暴</t>
  </si>
  <si>
    <t>6/10/12</t>
  </si>
  <si>
    <t>Q每跳激化</t>
  </si>
  <si>
    <t>空/荧（草）</t>
  </si>
  <si>
    <t>原木刀</t>
  </si>
  <si>
    <t>莱依拉</t>
  </si>
  <si>
    <t>申鹤</t>
  </si>
  <si>
    <t>息灾</t>
  </si>
  <si>
    <t>2角斗2追忆</t>
  </si>
  <si>
    <t>攻攻攻</t>
  </si>
  <si>
    <t>Q伤害</t>
  </si>
  <si>
    <t>伤害预估</t>
  </si>
  <si>
    <t>神里绫华</t>
  </si>
  <si>
    <t>冰风4</t>
  </si>
  <si>
    <t>攻冰暴</t>
  </si>
  <si>
    <t>9/8/10</t>
  </si>
  <si>
    <t>霜灭切割</t>
  </si>
  <si>
    <t>优菈</t>
  </si>
  <si>
    <t>松籁响起之时</t>
  </si>
  <si>
    <t>苍白4</t>
  </si>
  <si>
    <t>Q13层光剑</t>
  </si>
  <si>
    <t>（eQAAAAEAAAA）</t>
  </si>
  <si>
    <t>甘雨</t>
  </si>
  <si>
    <t>霜华矢绽放</t>
  </si>
  <si>
    <t>破魔之弓</t>
  </si>
  <si>
    <t>霜华矢融化</t>
  </si>
  <si>
    <t>精冰暴</t>
  </si>
  <si>
    <t>凯亚</t>
  </si>
  <si>
    <t>6/11/13</t>
  </si>
  <si>
    <t>充冰暴</t>
  </si>
  <si>
    <t>重云</t>
  </si>
  <si>
    <t>2冰风2宗室</t>
  </si>
  <si>
    <t>七七</t>
  </si>
  <si>
    <t>6/9/9</t>
  </si>
  <si>
    <t>符文治疗</t>
  </si>
  <si>
    <t>笛剑</t>
  </si>
  <si>
    <t>迪奥娜</t>
  </si>
  <si>
    <t>2少女2千岩</t>
  </si>
  <si>
    <t>长E盾值</t>
  </si>
  <si>
    <t>罗莎莉亚</t>
  </si>
  <si>
    <t>埃洛伊</t>
  </si>
  <si>
    <t>2冰风2角斗</t>
  </si>
  <si>
    <t>Q满线圈</t>
  </si>
  <si>
    <t>荒泷一斗</t>
  </si>
  <si>
    <t>赤角石溃杵</t>
  </si>
  <si>
    <t>华馆4</t>
  </si>
  <si>
    <t>防岩暴</t>
  </si>
  <si>
    <t>开Q重击连斩</t>
  </si>
  <si>
    <t>五郎</t>
  </si>
  <si>
    <t>流放4</t>
  </si>
  <si>
    <t>充岩暴</t>
  </si>
  <si>
    <t>Q每次</t>
  </si>
  <si>
    <t>def倍率</t>
  </si>
  <si>
    <t>阿贝多</t>
  </si>
  <si>
    <t>辰砂之纺锤</t>
  </si>
  <si>
    <t>2/10/8</t>
  </si>
  <si>
    <t>E刹那之花</t>
  </si>
  <si>
    <t>黎明神剑</t>
  </si>
  <si>
    <t>磐岩4</t>
  </si>
  <si>
    <t>钟离</t>
  </si>
  <si>
    <t>E实际盾值</t>
  </si>
  <si>
    <t>Q开盾天星</t>
  </si>
  <si>
    <t>2磐岩2宗室</t>
  </si>
  <si>
    <t>生岩暴</t>
  </si>
  <si>
    <t>诺艾尔</t>
  </si>
  <si>
    <t>高达首刀</t>
  </si>
  <si>
    <t>凝光</t>
  </si>
  <si>
    <t>2磐岩2角斗</t>
  </si>
  <si>
    <t>攻岩暴</t>
  </si>
  <si>
    <t>9/12/13</t>
  </si>
  <si>
    <t>Q每颗</t>
  </si>
  <si>
    <t>尘世之锁</t>
  </si>
  <si>
    <t>空/荧（岩）</t>
  </si>
  <si>
    <t>Q每波</t>
  </si>
  <si>
    <t>防御</t>
  </si>
  <si>
    <t>云堇</t>
  </si>
  <si>
    <t>防防暴</t>
  </si>
  <si>
    <t>北斗攻击bug（已编辑</t>
  </si>
  <si>
    <t>芭芭拉生命加成（已编辑</t>
  </si>
  <si>
    <t>心海金珀（已编辑</t>
  </si>
  <si>
    <t>18+6（已编辑</t>
  </si>
  <si>
    <t>钟离8条大生命对齐万叶（已编辑</t>
  </si>
  <si>
    <t>行秋、托马写出充能（已编辑</t>
  </si>
  <si>
    <t>阿贝多加上千岩4（已编辑</t>
  </si>
  <si>
    <t>2.4版本：</t>
  </si>
  <si>
    <r>
      <t>添加</t>
    </r>
    <r>
      <rPr>
        <sz val="12"/>
        <color indexed="30"/>
        <rFont val="宋体"/>
        <charset val="134"/>
      </rPr>
      <t>申鹤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</si>
  <si>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云堇</t>
    </r>
    <r>
      <rPr>
        <sz val="12"/>
        <rFont val="宋体"/>
        <charset val="134"/>
      </rPr>
      <t>相关数据</t>
    </r>
  </si>
  <si>
    <r>
      <t>香菱</t>
    </r>
    <r>
      <rPr>
        <sz val="12"/>
        <rFont val="宋体"/>
        <charset val="134"/>
      </rPr>
      <t>攻击修正</t>
    </r>
  </si>
  <si>
    <r>
      <t>班尼特</t>
    </r>
    <r>
      <rPr>
        <sz val="12"/>
        <rFont val="宋体"/>
        <charset val="134"/>
      </rPr>
      <t>添加奶妈思路，两行，添加充能效率数据</t>
    </r>
  </si>
  <si>
    <r>
      <t>芭芭拉</t>
    </r>
    <r>
      <rPr>
        <sz val="12"/>
        <rFont val="宋体"/>
        <charset val="134"/>
      </rPr>
      <t>生命值修正，相应治疗数据变化</t>
    </r>
  </si>
  <si>
    <r>
      <t>甘雨</t>
    </r>
    <r>
      <rPr>
        <sz val="12"/>
        <rFont val="宋体"/>
        <charset val="134"/>
      </rPr>
      <t>试做攻击修正</t>
    </r>
  </si>
  <si>
    <r>
      <t>荒泷一斗</t>
    </r>
    <r>
      <rPr>
        <sz val="12"/>
        <rFont val="宋体"/>
        <charset val="134"/>
      </rPr>
      <t>添加白影剑的数据</t>
    </r>
  </si>
  <si>
    <r>
      <t>五郎</t>
    </r>
    <r>
      <rPr>
        <sz val="12"/>
        <rFont val="宋体"/>
        <charset val="134"/>
      </rPr>
      <t>添加充能效率数据</t>
    </r>
  </si>
  <si>
    <t>“如雷角斗4件套”bug</t>
  </si>
  <si>
    <t>魈攻击</t>
  </si>
  <si>
    <t>2.5版本：</t>
  </si>
  <si>
    <t>添加八重神子相关数据</t>
  </si>
  <si>
    <t>作图里菲谢尔、刻晴是2+2</t>
  </si>
  <si>
    <t>甘雨增加破魔之弓的数据</t>
  </si>
  <si>
    <t>2.6版本</t>
  </si>
  <si>
    <t>修正钟离2+2的生命值</t>
  </si>
  <si>
    <t>修正风系角色的精通数值，以及对应的扩散伤害</t>
  </si>
  <si>
    <t>添加神里绫人的相关数据</t>
  </si>
  <si>
    <t>修正流浪丽莎和优菈的伤害预估数值</t>
  </si>
  <si>
    <t>修正魈的白值，以及对应的攻击、伤害预估</t>
  </si>
  <si>
    <t>魈的圣遗物更新为辰砂4</t>
  </si>
  <si>
    <t>2.7版本</t>
  </si>
  <si>
    <r>
      <t>修正</t>
    </r>
    <r>
      <rPr>
        <sz val="12"/>
        <color indexed="30"/>
        <rFont val="宋体"/>
        <charset val="134"/>
      </rPr>
      <t>北斗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</si>
  <si>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烟绯</t>
    </r>
    <r>
      <rPr>
        <sz val="12"/>
        <rFont val="宋体"/>
        <charset val="134"/>
      </rPr>
      <t>圣遗物应为乐团4，数据不变</t>
    </r>
  </si>
  <si>
    <r>
      <t>修正图中文本，</t>
    </r>
    <r>
      <rPr>
        <sz val="12"/>
        <color indexed="30"/>
        <rFont val="宋体"/>
        <charset val="134"/>
      </rPr>
      <t>九条</t>
    </r>
    <r>
      <rPr>
        <sz val="12"/>
        <rFont val="宋体"/>
        <charset val="134"/>
      </rPr>
      <t>天空充雷暴</t>
    </r>
  </si>
  <si>
    <r>
      <rPr>
        <sz val="12"/>
        <color indexed="30"/>
        <rFont val="宋体"/>
        <charset val="134"/>
      </rPr>
      <t>香菱</t>
    </r>
    <r>
      <rPr>
        <sz val="12"/>
        <rFont val="宋体"/>
        <charset val="134"/>
      </rPr>
      <t>添加稻光相关数据。</t>
    </r>
  </si>
  <si>
    <r>
      <rPr>
        <sz val="12"/>
        <color indexed="30"/>
        <rFont val="宋体"/>
        <charset val="134"/>
      </rPr>
      <t>公子</t>
    </r>
    <r>
      <rPr>
        <sz val="12"/>
        <rFont val="宋体"/>
        <charset val="134"/>
      </rPr>
      <t>添加绿弓相关数据，并且添加一条冬极2水2乐团的配置。</t>
    </r>
  </si>
  <si>
    <r>
      <rPr>
        <sz val="12"/>
        <color indexed="30"/>
        <rFont val="宋体"/>
        <charset val="134"/>
      </rPr>
      <t>班尼特、万叶、荒泷一斗</t>
    </r>
    <r>
      <rPr>
        <sz val="12"/>
        <rFont val="宋体"/>
        <charset val="134"/>
      </rPr>
      <t>添加充能效率文本。</t>
    </r>
  </si>
  <si>
    <r>
      <t>添加</t>
    </r>
    <r>
      <rPr>
        <sz val="12"/>
        <color indexed="30"/>
        <rFont val="宋体"/>
        <charset val="134"/>
      </rPr>
      <t>夜兰</t>
    </r>
    <r>
      <rPr>
        <sz val="12"/>
        <rFont val="宋体"/>
        <charset val="134"/>
      </rPr>
      <t>相关数据</t>
    </r>
  </si>
  <si>
    <r>
      <t>添加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相关数据</t>
    </r>
  </si>
  <si>
    <t>2.8版本</t>
  </si>
  <si>
    <t>修正砂糖金珀、讨龙的精通</t>
  </si>
  <si>
    <t>添加鹿野院平藏相关数据</t>
  </si>
  <si>
    <t>修正久岐忍的数据</t>
  </si>
  <si>
    <t>3.0版本</t>
  </si>
  <si>
    <r>
      <t>添加</t>
    </r>
    <r>
      <rPr>
        <sz val="12"/>
        <color indexed="30"/>
        <rFont val="宋体"/>
        <charset val="134"/>
      </rPr>
      <t>提纳里、柯莱、草旅行者</t>
    </r>
    <r>
      <rPr>
        <sz val="12"/>
        <rFont val="宋体"/>
        <charset val="134"/>
      </rPr>
      <t>相关数据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</si>
  <si>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的圣遗物改成翠绿4</t>
    </r>
  </si>
  <si>
    <r>
      <rPr>
        <sz val="12"/>
        <color indexed="30"/>
        <rFont val="宋体"/>
        <charset val="134"/>
      </rPr>
      <t>琴</t>
    </r>
    <r>
      <rPr>
        <sz val="12"/>
        <rFont val="宋体"/>
        <charset val="134"/>
      </rPr>
      <t>“腐殖之剑”的词条换成“天目影打刀”，对应的攻击、治疗预估数值也有更新</t>
    </r>
  </si>
  <si>
    <r>
      <rPr>
        <sz val="12"/>
        <color indexed="30"/>
        <rFont val="宋体"/>
        <charset val="134"/>
      </rPr>
      <t>枫原万叶</t>
    </r>
    <r>
      <rPr>
        <sz val="12"/>
        <rFont val="宋体"/>
        <charset val="134"/>
      </rPr>
      <t>添加祭礼剑的数据</t>
    </r>
  </si>
  <si>
    <r>
      <t>修正</t>
    </r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的生命、治疗预估数值</t>
    </r>
  </si>
  <si>
    <r>
      <rPr>
        <sz val="12"/>
        <color indexed="30"/>
        <rFont val="宋体"/>
        <charset val="134"/>
      </rPr>
      <t>久岐忍</t>
    </r>
    <r>
      <rPr>
        <sz val="12"/>
        <rFont val="宋体"/>
        <charset val="134"/>
      </rPr>
      <t>的苍古换成原木刀，添加饰金4西风的数据</t>
    </r>
  </si>
  <si>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圣遗物改为如雷4</t>
    </r>
  </si>
  <si>
    <r>
      <rPr>
        <sz val="12"/>
        <color indexed="30"/>
        <rFont val="宋体"/>
        <charset val="134"/>
      </rPr>
      <t>八重神子</t>
    </r>
    <r>
      <rPr>
        <sz val="12"/>
        <rFont val="宋体"/>
        <charset val="134"/>
      </rPr>
      <t>删掉匣里日月一行，添加一行神乐饰金4的数据</t>
    </r>
  </si>
  <si>
    <r>
      <rPr>
        <sz val="12"/>
        <color indexed="30"/>
        <rFont val="宋体"/>
        <charset val="134"/>
      </rPr>
      <t>菲谢尔</t>
    </r>
    <r>
      <rPr>
        <sz val="12"/>
        <rFont val="宋体"/>
        <charset val="134"/>
      </rPr>
      <t>添加饰金4的数据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</si>
  <si>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改用“霜华矢绽放”作参考</t>
    </r>
  </si>
  <si>
    <r>
      <rPr>
        <sz val="12"/>
        <color indexed="30"/>
        <rFont val="宋体"/>
        <charset val="134"/>
      </rPr>
      <t>甘雨</t>
    </r>
    <r>
      <rPr>
        <sz val="12"/>
        <rFont val="宋体"/>
        <charset val="134"/>
      </rPr>
      <t>乐团改用“霜华矢融化”作参考</t>
    </r>
  </si>
  <si>
    <t>3.0下半</t>
  </si>
  <si>
    <r>
      <t>修正</t>
    </r>
    <r>
      <rPr>
        <sz val="12"/>
        <color indexed="30"/>
        <rFont val="宋体"/>
        <charset val="134"/>
      </rPr>
      <t>提纳里</t>
    </r>
    <r>
      <rPr>
        <sz val="12"/>
        <rFont val="宋体"/>
        <charset val="134"/>
      </rPr>
      <t>的白值，对应的攻击和伤害预估</t>
    </r>
  </si>
  <si>
    <r>
      <t>修正</t>
    </r>
    <r>
      <rPr>
        <sz val="12"/>
        <color indexed="30"/>
        <rFont val="宋体"/>
        <charset val="134"/>
      </rPr>
      <t>优菈</t>
    </r>
    <r>
      <rPr>
        <sz val="12"/>
        <rFont val="宋体"/>
        <charset val="134"/>
      </rPr>
      <t>的伤害预估</t>
    </r>
  </si>
  <si>
    <r>
      <t>丽莎</t>
    </r>
    <r>
      <rPr>
        <sz val="12"/>
        <rFont val="宋体"/>
        <charset val="134"/>
      </rPr>
      <t>图中物杯→雷杯文本修正</t>
    </r>
  </si>
  <si>
    <r>
      <t>菲谢尔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刻晴</t>
    </r>
    <r>
      <rPr>
        <sz val="12"/>
        <rFont val="宋体"/>
        <charset val="134"/>
      </rPr>
      <t>、</t>
    </r>
    <r>
      <rPr>
        <sz val="12"/>
        <color indexed="30"/>
        <rFont val="宋体"/>
        <charset val="134"/>
      </rPr>
      <t>丽莎</t>
    </r>
    <r>
      <rPr>
        <sz val="12"/>
        <rFont val="宋体"/>
        <charset val="134"/>
      </rPr>
      <t>添加元素精通的参考数据</t>
    </r>
  </si>
  <si>
    <r>
      <t>添加</t>
    </r>
    <r>
      <rPr>
        <sz val="12"/>
        <color indexed="30"/>
        <rFont val="宋体"/>
        <charset val="134"/>
      </rPr>
      <t>多莉</t>
    </r>
    <r>
      <rPr>
        <sz val="12"/>
        <rFont val="宋体"/>
        <charset val="134"/>
      </rPr>
      <t>相关数据</t>
    </r>
  </si>
  <si>
    <r>
      <t>修正</t>
    </r>
    <r>
      <rPr>
        <sz val="12"/>
        <color indexed="30"/>
        <rFont val="宋体"/>
        <charset val="134"/>
      </rPr>
      <t>钟离</t>
    </r>
    <r>
      <rPr>
        <sz val="12"/>
        <rFont val="宋体"/>
        <charset val="134"/>
      </rPr>
      <t>护摩生生生的生命值以及对应的伤害预估</t>
    </r>
  </si>
  <si>
    <t>添加赛诺、坎蒂丝相关数据</t>
  </si>
  <si>
    <t>云堇删去稻光、天空，添加喜多院十文字</t>
  </si>
  <si>
    <t>修正久岐忍西风、温迪西风、草主原木刀的白值</t>
  </si>
  <si>
    <t>达达利亚删去弓藏一行，技能改为2/10/9</t>
  </si>
  <si>
    <t>阿贝多添加一行黎明神剑的数据</t>
  </si>
  <si>
    <t>添加妮露相关数据</t>
  </si>
  <si>
    <t>万叶铁蜂刺换月光剑</t>
  </si>
  <si>
    <t>3.2上</t>
  </si>
  <si>
    <t>添加纳西妲相关数据</t>
  </si>
  <si>
    <t>删除久岐忍原木刀一行，添加一行饰金4铁蜂刺的数据</t>
  </si>
  <si>
    <t>修正饰金4久岐忍的精通数据</t>
  </si>
  <si>
    <t>3.2下</t>
  </si>
  <si>
    <t>添加莱依拉相关数据</t>
  </si>
  <si>
    <t>钟离第一行盾值修正</t>
  </si>
  <si>
    <t>班尼特删去少女4改为宗室4，治疗量同步修改</t>
  </si>
  <si>
    <t>小鹿四风改流浪乐章</t>
  </si>
  <si>
    <t>多莉武器顺序优化</t>
  </si>
  <si>
    <t>久岐忍铁蜂刺→月光剑</t>
  </si>
  <si>
    <t>提纳里阿莫斯→天空之翼</t>
  </si>
  <si>
    <t>申鹤删去稻光一行</t>
  </si>
  <si>
    <t>甘雨试做→天空</t>
  </si>
  <si>
    <t>菲谢尔删除饰金4的两行</t>
  </si>
  <si>
    <t>提纳里深林4→乐团4</t>
  </si>
  <si>
    <t>纳西妲添加一行专武精精暴</t>
  </si>
  <si>
    <t>迪奥娜生命值＆盾值修正</t>
  </si>
  <si>
    <t>添加流浪者、珐露珊相关数据</t>
  </si>
  <si>
    <t>莱依拉普攻调为2级</t>
  </si>
  <si>
    <t>提纳里最后一行乐团四件套的文本搞成深林了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</si>
</sst>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13" x14ac:knownFonts="1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30"/>
      <name val="宋体"/>
      <charset val="134"/>
    </font>
    <font>
      <sz val="12"/>
      <color indexed="10"/>
      <name val="宋体"/>
      <charset val="134"/>
    </font>
    <font>
      <sz val="11"/>
      <color theme="1"/>
      <name val="宋体"/>
      <charset val="134"/>
      <scheme val="minor"/>
    </font>
    <font>
      <sz val="12"/>
      <color rgb="FF0070C0"/>
      <name val="宋体"/>
      <charset val="134"/>
    </font>
    <font>
      <b/>
      <sz val="16"/>
      <color rgb="FF0070C0"/>
      <name val="宋体"/>
      <charset val="134"/>
    </font>
    <font>
      <sz val="12"/>
      <color rgb="FFC00000"/>
      <name val="宋体"/>
      <charset val="134"/>
    </font>
    <font>
      <sz val="12"/>
      <color theme="2" tint="-9.9978637043366805E-2"/>
      <name val="宋体"/>
      <charset val="134"/>
    </font>
    <font>
      <sz val="12"/>
      <color theme="0" tint="-0.14999847407452621"/>
      <name val="宋体"/>
      <charset val="134"/>
    </font>
    <font>
      <sz val="12"/>
      <color theme="2"/>
      <name val="宋体"/>
      <charset val="134"/>
    </font>
    <font>
      <sz val="12"/>
      <color theme="0" tint="-4.9989318521683403E-2"/>
      <name val="宋体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AE9"/>
        <bgColor indexed="64"/>
      </patternFill>
    </fill>
    <fill>
      <patternFill patternType="solid">
        <fgColor rgb="FFBDEFFF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EF1"/>
        <bgColor indexed="64"/>
      </patternFill>
    </fill>
    <fill>
      <patternFill patternType="solid">
        <fgColor rgb="FFFFE9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0" fontId="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0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0" fontId="5" fillId="6" borderId="0" xfId="0" applyNumberFormat="1" applyFon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176" fontId="0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0" fontId="5" fillId="7" borderId="0" xfId="0" applyNumberFormat="1" applyFont="1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11" fillId="0" borderId="0" xfId="0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82C34"/>
      </a:dk1>
      <a:lt1>
        <a:sysClr val="window" lastClr="D8DEE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6"/>
  <sheetViews>
    <sheetView tabSelected="1" topLeftCell="A109" zoomScale="90" zoomScaleSheetLayoutView="100" workbookViewId="0">
      <selection activeCell="N129" sqref="N129"/>
    </sheetView>
  </sheetViews>
  <sheetFormatPr defaultColWidth="9" defaultRowHeight="15" x14ac:dyDescent="0.25"/>
  <cols>
    <col min="1" max="1" width="12.83203125" style="7" customWidth="1"/>
    <col min="2" max="2" width="16.08203125" style="7" customWidth="1"/>
    <col min="3" max="3" width="12.83203125" style="7" customWidth="1"/>
    <col min="4" max="4" width="7.5" style="7" customWidth="1"/>
    <col min="5" max="5" width="9.5" style="8" customWidth="1"/>
    <col min="6" max="7" width="9.5" style="9" customWidth="1"/>
    <col min="8" max="8" width="9.5" style="10" customWidth="1"/>
    <col min="9" max="9" width="9.5" style="11" customWidth="1"/>
    <col min="10" max="10" width="9.5" style="12" customWidth="1"/>
    <col min="11" max="12" width="9.5" style="13" customWidth="1"/>
    <col min="13" max="13" width="7.5" style="14" customWidth="1"/>
    <col min="14" max="14" width="11.5" style="14" customWidth="1"/>
    <col min="15" max="15" width="8.5" style="13" customWidth="1"/>
    <col min="16" max="17" width="7.5" style="9" customWidth="1"/>
    <col min="18" max="18" width="9.5" style="13" customWidth="1"/>
    <col min="19" max="19" width="15.58203125" style="7" customWidth="1"/>
    <col min="20" max="20" width="10.58203125" style="10" customWidth="1"/>
    <col min="22" max="22" width="11.58203125" customWidth="1"/>
  </cols>
  <sheetData>
    <row r="1" spans="1:23" ht="21" x14ac:dyDescent="0.25">
      <c r="A1" s="62" t="s">
        <v>0</v>
      </c>
      <c r="B1" s="62"/>
      <c r="C1" s="62"/>
      <c r="D1" s="62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2"/>
      <c r="T1" s="63"/>
    </row>
    <row r="2" spans="1:23" ht="31" customHeight="1" x14ac:dyDescent="0.25">
      <c r="A2" s="69" t="s">
        <v>1</v>
      </c>
      <c r="B2" s="69"/>
      <c r="C2" s="69"/>
      <c r="D2" s="69"/>
      <c r="E2" s="69"/>
      <c r="F2" s="70" t="s">
        <v>2</v>
      </c>
      <c r="G2" s="70"/>
      <c r="H2" s="70"/>
      <c r="I2" s="70"/>
      <c r="J2" s="70" t="s">
        <v>3</v>
      </c>
      <c r="K2" s="70"/>
      <c r="L2" s="70"/>
      <c r="M2" s="70"/>
      <c r="N2" s="70"/>
      <c r="O2" s="70" t="s">
        <v>4</v>
      </c>
      <c r="P2" s="70"/>
      <c r="Q2" s="70"/>
      <c r="R2" s="70"/>
      <c r="S2" s="70"/>
      <c r="T2" s="70"/>
      <c r="U2" s="16"/>
      <c r="V2" s="16"/>
      <c r="W2" s="16"/>
    </row>
    <row r="3" spans="1:23" ht="31" customHeight="1" x14ac:dyDescent="0.25">
      <c r="A3" s="69"/>
      <c r="B3" s="69"/>
      <c r="C3" s="69"/>
      <c r="D3" s="69"/>
      <c r="E3" s="69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16"/>
      <c r="V3" s="16"/>
      <c r="W3" s="16"/>
    </row>
    <row r="4" spans="1:23" ht="31" customHeight="1" x14ac:dyDescent="0.25">
      <c r="A4" s="69"/>
      <c r="B4" s="69"/>
      <c r="C4" s="69"/>
      <c r="D4" s="69"/>
      <c r="E4" s="69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16"/>
      <c r="V4" s="16"/>
      <c r="W4" s="16"/>
    </row>
    <row r="5" spans="1:23" ht="31" customHeight="1" x14ac:dyDescent="0.25">
      <c r="A5" s="69"/>
      <c r="B5" s="69"/>
      <c r="C5" s="69"/>
      <c r="D5" s="69"/>
      <c r="E5" s="69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16"/>
      <c r="V5" s="16"/>
      <c r="W5" s="16"/>
    </row>
    <row r="6" spans="1:23" ht="31" customHeight="1" x14ac:dyDescent="0.25">
      <c r="A6" s="69"/>
      <c r="B6" s="69"/>
      <c r="C6" s="69"/>
      <c r="D6" s="69"/>
      <c r="E6" s="69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16"/>
      <c r="V6" s="16"/>
      <c r="W6" s="16"/>
    </row>
    <row r="7" spans="1:23" ht="26" customHeight="1" x14ac:dyDescent="0.25">
      <c r="A7" s="70" t="s">
        <v>5</v>
      </c>
      <c r="B7" s="71"/>
      <c r="C7" s="71"/>
      <c r="D7" s="71"/>
      <c r="E7" s="71"/>
      <c r="F7" s="71" t="s">
        <v>6</v>
      </c>
      <c r="G7" s="70"/>
      <c r="H7" s="70"/>
      <c r="I7" s="70"/>
      <c r="J7" s="71" t="s">
        <v>7</v>
      </c>
      <c r="K7" s="70"/>
      <c r="L7" s="70"/>
      <c r="M7" s="70"/>
      <c r="N7" s="70"/>
      <c r="O7" s="71" t="s">
        <v>8</v>
      </c>
      <c r="P7" s="70"/>
      <c r="Q7" s="70"/>
      <c r="R7" s="70"/>
      <c r="S7" s="70"/>
      <c r="T7" s="70"/>
      <c r="U7" s="3"/>
      <c r="V7" s="3"/>
      <c r="W7" s="3"/>
    </row>
    <row r="8" spans="1:23" ht="26" customHeight="1" x14ac:dyDescent="0.25">
      <c r="A8" s="71"/>
      <c r="B8" s="71"/>
      <c r="C8" s="71"/>
      <c r="D8" s="71"/>
      <c r="E8" s="71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3"/>
      <c r="V8" s="3"/>
      <c r="W8" s="3"/>
    </row>
    <row r="9" spans="1:23" ht="26" customHeight="1" x14ac:dyDescent="0.25">
      <c r="A9" s="71"/>
      <c r="B9" s="71"/>
      <c r="C9" s="71"/>
      <c r="D9" s="71"/>
      <c r="E9" s="71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3"/>
      <c r="V9" s="3"/>
      <c r="W9" s="3"/>
    </row>
    <row r="10" spans="1:23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pans="1:23" x14ac:dyDescent="0.25">
      <c r="A11" s="7" t="s">
        <v>9</v>
      </c>
      <c r="B11" s="7" t="s">
        <v>10</v>
      </c>
      <c r="C11" s="7" t="s">
        <v>11</v>
      </c>
      <c r="D11" s="7" t="s">
        <v>12</v>
      </c>
      <c r="E11" s="8" t="s">
        <v>13</v>
      </c>
      <c r="F11" s="9" t="s">
        <v>14</v>
      </c>
      <c r="G11" s="9" t="s">
        <v>15</v>
      </c>
      <c r="H11" s="10" t="s">
        <v>16</v>
      </c>
      <c r="I11" s="11" t="s">
        <v>17</v>
      </c>
      <c r="J11" s="11" t="s">
        <v>18</v>
      </c>
      <c r="K11" s="13" t="s">
        <v>19</v>
      </c>
      <c r="L11" s="13" t="s">
        <v>20</v>
      </c>
      <c r="M11" s="14" t="s">
        <v>21</v>
      </c>
      <c r="N11" s="14" t="s">
        <v>22</v>
      </c>
      <c r="O11" s="13" t="s">
        <v>23</v>
      </c>
      <c r="P11" s="9" t="s">
        <v>24</v>
      </c>
      <c r="Q11" s="9" t="s">
        <v>25</v>
      </c>
      <c r="R11" s="13" t="s">
        <v>26</v>
      </c>
      <c r="S11" s="7" t="s">
        <v>27</v>
      </c>
      <c r="T11" s="10" t="s">
        <v>28</v>
      </c>
    </row>
    <row r="12" spans="1:23" x14ac:dyDescent="0.25">
      <c r="A12" s="7" t="s">
        <v>29</v>
      </c>
      <c r="B12" s="7" t="s">
        <v>30</v>
      </c>
      <c r="C12" s="7" t="s">
        <v>31</v>
      </c>
      <c r="D12" s="7" t="s">
        <v>32</v>
      </c>
      <c r="E12" s="8" t="s">
        <v>33</v>
      </c>
      <c r="F12" s="9">
        <f>106</f>
        <v>106</v>
      </c>
      <c r="G12" s="9">
        <f>608</f>
        <v>608</v>
      </c>
      <c r="H12" s="10">
        <f>(F12+G12)*(1+0.2+0.18)+311+(5.96%+1.8%)*I12</f>
        <v>4039.8860032000002</v>
      </c>
      <c r="I12" s="11">
        <f>15552*(1+0.466+0.3+0.2)+4780</f>
        <v>35355.232000000004</v>
      </c>
      <c r="J12" s="12">
        <f>80</f>
        <v>80</v>
      </c>
      <c r="K12" s="13">
        <f>0</f>
        <v>0</v>
      </c>
      <c r="L12" s="13">
        <f>38.4%+66.2%</f>
        <v>1.046</v>
      </c>
      <c r="M12" s="14">
        <f>63.55%+K12/2+L12/4-19.7%</f>
        <v>0.70000000000000007</v>
      </c>
      <c r="N12" s="14">
        <f>63.55%*2+K12+L12/2+19.7%*2-6.6%*2</f>
        <v>2.056</v>
      </c>
      <c r="O12" s="13">
        <f>0.466+0.5+0.33</f>
        <v>1.296</v>
      </c>
      <c r="P12" s="9">
        <f>0.5</f>
        <v>0.5</v>
      </c>
      <c r="Q12" s="9">
        <f>0.9</f>
        <v>0.9</v>
      </c>
      <c r="R12" s="13">
        <f>2.4257</f>
        <v>2.4257</v>
      </c>
      <c r="S12" s="7" t="s">
        <v>34</v>
      </c>
      <c r="T12" s="10">
        <f>H12*R12*(1+O12)*(1+N12)*P12*Q12*1.5*(1+(2.78*J12)/(J12+1400))</f>
        <v>53386.948774124219</v>
      </c>
    </row>
    <row r="13" spans="1:23" x14ac:dyDescent="0.25">
      <c r="A13" s="7" t="s">
        <v>29</v>
      </c>
      <c r="B13" s="7" t="s">
        <v>30</v>
      </c>
      <c r="C13" s="7" t="s">
        <v>31</v>
      </c>
      <c r="D13" s="7" t="s">
        <v>35</v>
      </c>
      <c r="E13" s="8" t="s">
        <v>33</v>
      </c>
      <c r="F13" s="9">
        <f>106</f>
        <v>106</v>
      </c>
      <c r="G13" s="9">
        <f>608</f>
        <v>608</v>
      </c>
      <c r="H13" s="10">
        <f>(F13+G13)*(1+0.2+0.18)+311+(5.96%+1.8%)*I13</f>
        <v>3477.5007999999998</v>
      </c>
      <c r="I13" s="11">
        <f>15552*(1+0.3+0.2)+4780</f>
        <v>28108</v>
      </c>
      <c r="J13" s="12">
        <f>80+187</f>
        <v>267</v>
      </c>
      <c r="K13" s="13">
        <f>0</f>
        <v>0</v>
      </c>
      <c r="L13" s="13">
        <f>38.4%+66.2%</f>
        <v>1.046</v>
      </c>
      <c r="M13" s="14">
        <f>63.55%+K13/2+L13/4-19.7%</f>
        <v>0.70000000000000007</v>
      </c>
      <c r="N13" s="14">
        <f>63.55%*2+K13+L13/2+19.7%*2-6.6%*2</f>
        <v>2.056</v>
      </c>
      <c r="O13" s="13">
        <f>0.466+0.5+0.33</f>
        <v>1.296</v>
      </c>
      <c r="P13" s="9">
        <f>0.5</f>
        <v>0.5</v>
      </c>
      <c r="Q13" s="9">
        <f>0.9</f>
        <v>0.9</v>
      </c>
      <c r="R13" s="13">
        <f>2.4257</f>
        <v>2.4257</v>
      </c>
      <c r="S13" s="7" t="s">
        <v>34</v>
      </c>
      <c r="T13" s="10">
        <f>H13*R13*(1+O13)*(1+N13)*P13*Q13*1.5*(1+(2.78*J13)/(J13+1400))</f>
        <v>57740.61478722524</v>
      </c>
    </row>
    <row r="14" spans="1:23" x14ac:dyDescent="0.25">
      <c r="A14" s="7" t="s">
        <v>29</v>
      </c>
      <c r="B14" s="7" t="s">
        <v>36</v>
      </c>
      <c r="C14" s="7" t="s">
        <v>31</v>
      </c>
      <c r="D14" s="7" t="s">
        <v>32</v>
      </c>
      <c r="E14" s="8" t="s">
        <v>33</v>
      </c>
      <c r="F14" s="9">
        <f>106</f>
        <v>106</v>
      </c>
      <c r="G14" s="9">
        <v>454</v>
      </c>
      <c r="H14" s="10">
        <f>(F14+G14)*(1+0.2+0.18)+311+(5.96%)*I14</f>
        <v>3005.5919871999999</v>
      </c>
      <c r="I14" s="11">
        <f>15552*(1+0.466+0.3)+4780</f>
        <v>32244.831999999999</v>
      </c>
      <c r="J14" s="12">
        <f>80+221</f>
        <v>301</v>
      </c>
      <c r="K14" s="13">
        <f>0</f>
        <v>0</v>
      </c>
      <c r="L14" s="13">
        <f>38.4%</f>
        <v>0.38400000000000001</v>
      </c>
      <c r="M14" s="14">
        <f>60.25%+K14/2+L14/4</f>
        <v>0.69850000000000001</v>
      </c>
      <c r="N14" s="14">
        <f>60.25%*2+K14+L14/2</f>
        <v>1.397</v>
      </c>
      <c r="O14" s="13">
        <f>0.466+0.5+0.33+0.36</f>
        <v>1.6560000000000001</v>
      </c>
      <c r="P14" s="9">
        <f>0.5</f>
        <v>0.5</v>
      </c>
      <c r="Q14" s="9">
        <f>0.9</f>
        <v>0.9</v>
      </c>
      <c r="R14" s="13">
        <f>2.4257</f>
        <v>2.4257</v>
      </c>
      <c r="S14" s="7" t="s">
        <v>34</v>
      </c>
      <c r="T14" s="10">
        <f>H14*R14*(1+O14)*(1+N14)*P14*Q14*1.5*(1+(2.78*J14)/(J14+1400))</f>
        <v>46743.006945727582</v>
      </c>
    </row>
    <row r="15" spans="1:23" x14ac:dyDescent="0.25">
      <c r="A15" s="7" t="s">
        <v>29</v>
      </c>
      <c r="B15" s="12" t="s">
        <v>37</v>
      </c>
      <c r="C15" s="7" t="s">
        <v>31</v>
      </c>
      <c r="D15" s="12" t="s">
        <v>35</v>
      </c>
      <c r="E15" s="8" t="s">
        <v>33</v>
      </c>
      <c r="F15" s="9">
        <f>106</f>
        <v>106</v>
      </c>
      <c r="G15" s="9">
        <v>454</v>
      </c>
      <c r="H15" s="10">
        <f>(F15+G15)*(1+0.2+0.18+0.32)+311+(5.96%)*I15</f>
        <v>2752.8569600000001</v>
      </c>
      <c r="I15" s="11">
        <f>15552*(1+0.3)+4780</f>
        <v>24997.600000000002</v>
      </c>
      <c r="J15" s="12">
        <f>80+187</f>
        <v>267</v>
      </c>
      <c r="K15" s="13">
        <v>0.36799999999999999</v>
      </c>
      <c r="L15" s="13">
        <f>38.4%</f>
        <v>0.38400000000000001</v>
      </c>
      <c r="M15" s="14">
        <f>60.25%+K15/2+L15/4-8.25%</f>
        <v>0.79999999999999993</v>
      </c>
      <c r="N15" s="14">
        <f>60.25%*2+K15+L15/2+8.25%*2</f>
        <v>1.93</v>
      </c>
      <c r="O15" s="13">
        <f>0.466+0.5+0.33</f>
        <v>1.296</v>
      </c>
      <c r="P15" s="9">
        <f>0.5</f>
        <v>0.5</v>
      </c>
      <c r="Q15" s="9">
        <f>0.9</f>
        <v>0.9</v>
      </c>
      <c r="R15" s="13">
        <f>2.4257</f>
        <v>2.4257</v>
      </c>
      <c r="S15" s="7" t="s">
        <v>34</v>
      </c>
      <c r="T15" s="10">
        <f>H15*R15*(1+O15)*(1+N15)*P15*Q15*1.5*(1+(2.78*J15)/(J15+1400))</f>
        <v>43824.006703878498</v>
      </c>
    </row>
    <row r="17" spans="1:21" x14ac:dyDescent="0.25">
      <c r="A17" s="7" t="s">
        <v>29</v>
      </c>
      <c r="B17" s="7" t="s">
        <v>30</v>
      </c>
      <c r="C17" s="7" t="s">
        <v>38</v>
      </c>
      <c r="D17" s="7" t="s">
        <v>32</v>
      </c>
      <c r="E17" s="8" t="s">
        <v>33</v>
      </c>
      <c r="F17" s="9">
        <f>106</f>
        <v>106</v>
      </c>
      <c r="G17" s="9">
        <f>608</f>
        <v>608</v>
      </c>
      <c r="H17" s="10">
        <f>(F17+G17)*(1+0.2)+311+(5.96%+1.8%)*I17</f>
        <v>3911.3660032000007</v>
      </c>
      <c r="I17" s="11">
        <f>15552*(1+0.466+0.3+0.2)+4780</f>
        <v>35355.232000000004</v>
      </c>
      <c r="J17" s="12">
        <f>80</f>
        <v>80</v>
      </c>
      <c r="K17" s="13">
        <f>0</f>
        <v>0</v>
      </c>
      <c r="L17" s="13">
        <f>38.4%+66.2%</f>
        <v>1.046</v>
      </c>
      <c r="M17" s="14">
        <f>63.55%+K17/2+L17/4-19.7%</f>
        <v>0.70000000000000007</v>
      </c>
      <c r="N17" s="14">
        <f>63.55%*2+K17+L17/2+19.7%*2-6.6%*2</f>
        <v>2.056</v>
      </c>
      <c r="O17" s="13">
        <f>0.466+0.225+0.33</f>
        <v>1.0210000000000001</v>
      </c>
      <c r="P17" s="9">
        <f>0.5</f>
        <v>0.5</v>
      </c>
      <c r="Q17" s="9">
        <f>0.9</f>
        <v>0.9</v>
      </c>
      <c r="R17" s="13">
        <f>2.4257</f>
        <v>2.4257</v>
      </c>
      <c r="S17" s="7" t="s">
        <v>34</v>
      </c>
      <c r="T17" s="10">
        <f>H17*R17*(1+O17)*(1+N17)*P17*Q17*1.5*(1+(2.78*J17)/(J17+1400)+0.15)</f>
        <v>51430.721148416014</v>
      </c>
    </row>
    <row r="18" spans="1:21" x14ac:dyDescent="0.25">
      <c r="A18" s="7" t="s">
        <v>29</v>
      </c>
      <c r="B18" s="7" t="s">
        <v>30</v>
      </c>
      <c r="C18" s="7" t="s">
        <v>38</v>
      </c>
      <c r="D18" s="7" t="s">
        <v>35</v>
      </c>
      <c r="E18" s="8" t="s">
        <v>33</v>
      </c>
      <c r="F18" s="9">
        <f>106</f>
        <v>106</v>
      </c>
      <c r="G18" s="9">
        <f>608</f>
        <v>608</v>
      </c>
      <c r="H18" s="10">
        <f>(F18+G18)*(1+0.2)+311+(5.96%+1.8%)*I18</f>
        <v>3348.9808000000003</v>
      </c>
      <c r="I18" s="11">
        <f>15552*(1+0.3+0.2)+4780</f>
        <v>28108</v>
      </c>
      <c r="J18" s="12">
        <f>80+187</f>
        <v>267</v>
      </c>
      <c r="K18" s="13">
        <f>0</f>
        <v>0</v>
      </c>
      <c r="L18" s="13">
        <f>38.4%+66.2%</f>
        <v>1.046</v>
      </c>
      <c r="M18" s="14">
        <f>63.55%+K18/2+L18/4-19.7%</f>
        <v>0.70000000000000007</v>
      </c>
      <c r="N18" s="14">
        <f>63.55%*2+K18+L18/2+19.7%*2-6.6%*2</f>
        <v>2.056</v>
      </c>
      <c r="O18" s="13">
        <f>0.466+0.225+0.33</f>
        <v>1.0210000000000001</v>
      </c>
      <c r="P18" s="9">
        <f>0.5</f>
        <v>0.5</v>
      </c>
      <c r="Q18" s="9">
        <f>0.9</f>
        <v>0.9</v>
      </c>
      <c r="R18" s="13">
        <f>2.4257</f>
        <v>2.4257</v>
      </c>
      <c r="S18" s="7" t="s">
        <v>34</v>
      </c>
      <c r="T18" s="10">
        <f>H18*R18*(1+O18)*(1+N18)*P18*Q18*1.5*(1+(2.78*J18)/(J18+1400)+0.15)</f>
        <v>54026.464603692337</v>
      </c>
    </row>
    <row r="19" spans="1:21" x14ac:dyDescent="0.25">
      <c r="A19" s="7" t="s">
        <v>29</v>
      </c>
      <c r="B19" s="7" t="s">
        <v>36</v>
      </c>
      <c r="C19" s="7" t="s">
        <v>38</v>
      </c>
      <c r="D19" s="7" t="s">
        <v>32</v>
      </c>
      <c r="E19" s="8" t="s">
        <v>33</v>
      </c>
      <c r="F19" s="9">
        <f>106</f>
        <v>106</v>
      </c>
      <c r="G19" s="9">
        <v>454</v>
      </c>
      <c r="H19" s="10">
        <f>(F19+G19)*(1+0.2)+311+(5.96%)*I19</f>
        <v>2904.7919872000002</v>
      </c>
      <c r="I19" s="11">
        <f>15552*(1+0.466+0.3)+4780</f>
        <v>32244.831999999999</v>
      </c>
      <c r="J19" s="12">
        <f>80+221</f>
        <v>301</v>
      </c>
      <c r="K19" s="13">
        <f>0</f>
        <v>0</v>
      </c>
      <c r="L19" s="13">
        <f>38.4%</f>
        <v>0.38400000000000001</v>
      </c>
      <c r="M19" s="14">
        <f>60.25%+K19/2+L19/4</f>
        <v>0.69850000000000001</v>
      </c>
      <c r="N19" s="14">
        <f>60.25%*2+K19+L19/2</f>
        <v>1.397</v>
      </c>
      <c r="O19" s="13">
        <f>0.466+0.225+0.33+0.36</f>
        <v>1.3810000000000002</v>
      </c>
      <c r="P19" s="9">
        <f>0.5</f>
        <v>0.5</v>
      </c>
      <c r="Q19" s="9">
        <f>0.9</f>
        <v>0.9</v>
      </c>
      <c r="R19" s="13">
        <f>2.4257</f>
        <v>2.4257</v>
      </c>
      <c r="S19" s="7" t="s">
        <v>34</v>
      </c>
      <c r="T19" s="10">
        <f>H19*R19*(1+O19)*(1+N19)*P19*Q19*1.5*(1+(2.78*J19)/(J19+1400)+0.15)</f>
        <v>44569.633798427581</v>
      </c>
    </row>
    <row r="20" spans="1:21" x14ac:dyDescent="0.25">
      <c r="A20" s="7" t="s">
        <v>29</v>
      </c>
      <c r="B20" s="12" t="s">
        <v>36</v>
      </c>
      <c r="C20" s="7" t="s">
        <v>38</v>
      </c>
      <c r="D20" s="7" t="s">
        <v>35</v>
      </c>
      <c r="E20" s="8" t="s">
        <v>33</v>
      </c>
      <c r="F20" s="9">
        <f>106</f>
        <v>106</v>
      </c>
      <c r="G20" s="9">
        <v>454</v>
      </c>
      <c r="H20" s="10">
        <f>(F20+G20)*(1+0.2)+311+(5.96%)*I20</f>
        <v>2472.8569600000001</v>
      </c>
      <c r="I20" s="11">
        <f>15552*(1+0.3)+4780</f>
        <v>24997.600000000002</v>
      </c>
      <c r="J20" s="12">
        <f>80+187+221</f>
        <v>488</v>
      </c>
      <c r="K20" s="13">
        <f>0</f>
        <v>0</v>
      </c>
      <c r="L20" s="13">
        <f>38.4%</f>
        <v>0.38400000000000001</v>
      </c>
      <c r="M20" s="14">
        <f>60.25%+K20/2+L20/4</f>
        <v>0.69850000000000001</v>
      </c>
      <c r="N20" s="14">
        <f>60.25%*2+K20+L20/2</f>
        <v>1.397</v>
      </c>
      <c r="O20" s="13">
        <f>0.466+0.225+0.33+0.36</f>
        <v>1.3810000000000002</v>
      </c>
      <c r="P20" s="9">
        <f>0.5</f>
        <v>0.5</v>
      </c>
      <c r="Q20" s="9">
        <f>0.9</f>
        <v>0.9</v>
      </c>
      <c r="R20" s="13">
        <f>2.4257</f>
        <v>2.4257</v>
      </c>
      <c r="S20" s="7" t="s">
        <v>34</v>
      </c>
      <c r="T20" s="10">
        <f>H20*R20*(1+O20)*(1+N20)*P20*Q20*1.5*(1+(2.78*J20)/(J20+1400)+0.15)</f>
        <v>43179.158706164329</v>
      </c>
    </row>
    <row r="22" spans="1:21" x14ac:dyDescent="0.25">
      <c r="A22" s="7" t="s">
        <v>9</v>
      </c>
      <c r="B22" s="7" t="s">
        <v>10</v>
      </c>
      <c r="C22" s="7" t="s">
        <v>11</v>
      </c>
      <c r="D22" s="7" t="s">
        <v>12</v>
      </c>
      <c r="E22" s="8" t="s">
        <v>13</v>
      </c>
      <c r="F22" s="9" t="s">
        <v>14</v>
      </c>
      <c r="G22" s="9" t="s">
        <v>15</v>
      </c>
      <c r="H22" s="10" t="s">
        <v>16</v>
      </c>
      <c r="I22" s="11" t="s">
        <v>17</v>
      </c>
      <c r="J22" s="12" t="s">
        <v>39</v>
      </c>
      <c r="K22" s="13" t="s">
        <v>19</v>
      </c>
      <c r="L22" s="13" t="s">
        <v>20</v>
      </c>
      <c r="M22" s="14" t="s">
        <v>21</v>
      </c>
      <c r="N22" s="14" t="s">
        <v>22</v>
      </c>
      <c r="O22" s="13" t="s">
        <v>23</v>
      </c>
      <c r="P22" s="9" t="s">
        <v>24</v>
      </c>
      <c r="Q22" s="9" t="s">
        <v>25</v>
      </c>
      <c r="R22" s="13" t="s">
        <v>26</v>
      </c>
      <c r="S22" s="7" t="s">
        <v>27</v>
      </c>
      <c r="T22" s="10" t="s">
        <v>28</v>
      </c>
    </row>
    <row r="23" spans="1:21" x14ac:dyDescent="0.25">
      <c r="A23" s="7" t="s">
        <v>40</v>
      </c>
      <c r="B23" s="7" t="s">
        <v>41</v>
      </c>
      <c r="C23" s="7" t="s">
        <v>42</v>
      </c>
      <c r="D23" s="7" t="s">
        <v>43</v>
      </c>
      <c r="E23" s="8" t="s">
        <v>44</v>
      </c>
      <c r="F23" s="9">
        <v>202</v>
      </c>
      <c r="G23" s="9">
        <v>565</v>
      </c>
      <c r="H23" s="10">
        <f>(F23+G23)*(1+0.3+0.24)+311</f>
        <v>1492.18</v>
      </c>
      <c r="I23" s="11">
        <f>10331*(1+0.466+0.05*6)+4780</f>
        <v>23024.545999999998</v>
      </c>
      <c r="J23" s="15">
        <f>1+0.518+0.2+0.306+0.2</f>
        <v>2.2240000000000002</v>
      </c>
      <c r="K23" s="13">
        <f>0</f>
        <v>0</v>
      </c>
      <c r="L23" s="13">
        <f>0</f>
        <v>0</v>
      </c>
      <c r="M23" s="14">
        <v>0.7</v>
      </c>
      <c r="N23" s="14" t="s">
        <v>45</v>
      </c>
      <c r="O23" s="13">
        <f>0</f>
        <v>0</v>
      </c>
      <c r="P23" s="9">
        <f t="shared" ref="P23:P28" si="0">0.5</f>
        <v>0.5</v>
      </c>
      <c r="Q23" s="9">
        <f t="shared" ref="Q23:Q28" si="1">0.9</f>
        <v>0.9</v>
      </c>
      <c r="R23" s="13" t="s">
        <v>46</v>
      </c>
      <c r="S23" s="7" t="s">
        <v>47</v>
      </c>
      <c r="T23" s="10">
        <f>39.2%*I23+4829</f>
        <v>13854.622031999999</v>
      </c>
    </row>
    <row r="24" spans="1:21" x14ac:dyDescent="0.25">
      <c r="A24" s="7" t="s">
        <v>40</v>
      </c>
      <c r="B24" s="7" t="s">
        <v>48</v>
      </c>
      <c r="C24" s="7" t="s">
        <v>42</v>
      </c>
      <c r="D24" s="7" t="s">
        <v>49</v>
      </c>
      <c r="E24" s="8" t="s">
        <v>44</v>
      </c>
      <c r="F24" s="9">
        <v>202</v>
      </c>
      <c r="G24" s="9">
        <v>354</v>
      </c>
      <c r="H24" s="10">
        <f>(F24+G24)*(1+0.3+0.24)+311</f>
        <v>1167.24</v>
      </c>
      <c r="I24" s="11">
        <f>10331*(1+0.466*2+0.469+0.05*8)+4780</f>
        <v>33717.130999999994</v>
      </c>
      <c r="J24" s="15">
        <f>1+0.518+0.2+0.2</f>
        <v>1.9179999999999999</v>
      </c>
      <c r="K24" s="13">
        <f>0</f>
        <v>0</v>
      </c>
      <c r="L24" s="13">
        <v>0</v>
      </c>
      <c r="M24" s="14" t="s">
        <v>45</v>
      </c>
      <c r="N24" s="14" t="s">
        <v>45</v>
      </c>
      <c r="O24" s="13">
        <v>0</v>
      </c>
      <c r="P24" s="9">
        <f t="shared" si="0"/>
        <v>0.5</v>
      </c>
      <c r="Q24" s="9">
        <f t="shared" si="1"/>
        <v>0.9</v>
      </c>
      <c r="R24" s="13" t="s">
        <v>46</v>
      </c>
      <c r="S24" s="7" t="s">
        <v>47</v>
      </c>
      <c r="T24" s="10">
        <f>39.2%*I24+4829</f>
        <v>18046.115352000001</v>
      </c>
    </row>
    <row r="26" spans="1:21" x14ac:dyDescent="0.25">
      <c r="A26" s="7" t="s">
        <v>9</v>
      </c>
      <c r="B26" s="7" t="s">
        <v>10</v>
      </c>
      <c r="C26" s="7" t="s">
        <v>11</v>
      </c>
      <c r="D26" s="7" t="s">
        <v>12</v>
      </c>
      <c r="E26" s="8" t="s">
        <v>13</v>
      </c>
      <c r="F26" s="9" t="s">
        <v>14</v>
      </c>
      <c r="G26" s="9" t="s">
        <v>15</v>
      </c>
      <c r="H26" s="10" t="s">
        <v>16</v>
      </c>
      <c r="K26" s="13" t="s">
        <v>19</v>
      </c>
      <c r="L26" s="13" t="s">
        <v>20</v>
      </c>
      <c r="M26" s="14" t="s">
        <v>21</v>
      </c>
      <c r="N26" s="14" t="s">
        <v>22</v>
      </c>
      <c r="O26" s="13" t="s">
        <v>23</v>
      </c>
      <c r="P26" s="9" t="s">
        <v>24</v>
      </c>
      <c r="Q26" s="9" t="s">
        <v>25</v>
      </c>
      <c r="R26" s="13" t="s">
        <v>26</v>
      </c>
      <c r="S26" s="7" t="s">
        <v>27</v>
      </c>
      <c r="T26" s="10" t="s">
        <v>28</v>
      </c>
    </row>
    <row r="27" spans="1:21" x14ac:dyDescent="0.25">
      <c r="A27" s="7" t="s">
        <v>50</v>
      </c>
      <c r="B27" s="7" t="s">
        <v>51</v>
      </c>
      <c r="C27" s="7" t="s">
        <v>31</v>
      </c>
      <c r="D27" s="7" t="s">
        <v>52</v>
      </c>
      <c r="E27" s="8" t="s">
        <v>53</v>
      </c>
      <c r="F27" s="9">
        <v>323</v>
      </c>
      <c r="G27" s="9">
        <f>608</f>
        <v>608</v>
      </c>
      <c r="H27" s="10">
        <f>(F27+G27)*(1+0.3+0.466+0.2+0.18)+311</f>
        <v>2308.9259999999999</v>
      </c>
      <c r="K27" s="13">
        <f>19.2%</f>
        <v>0.192</v>
      </c>
      <c r="L27" s="13">
        <f>66.2%</f>
        <v>0.66200000000000003</v>
      </c>
      <c r="M27" s="14">
        <v>0.8</v>
      </c>
      <c r="N27" s="14">
        <f>63.55%*2+K27+L27/2+3.1%*2</f>
        <v>1.8559999999999999</v>
      </c>
      <c r="O27" s="13">
        <f>0.466+0.4+0.5</f>
        <v>1.3660000000000001</v>
      </c>
      <c r="P27" s="9">
        <f t="shared" si="0"/>
        <v>0.5</v>
      </c>
      <c r="Q27" s="9">
        <f t="shared" si="1"/>
        <v>0.9</v>
      </c>
      <c r="R27" s="13">
        <v>0.63590000000000002</v>
      </c>
      <c r="S27" s="7" t="s">
        <v>54</v>
      </c>
      <c r="T27" s="10">
        <f>H27*R27*(1+O27)*(1+N27)*P27*Q27*1.5879</f>
        <v>7089.3667669624356</v>
      </c>
      <c r="U27" s="10"/>
    </row>
    <row r="28" spans="1:21" x14ac:dyDescent="0.25">
      <c r="A28" s="7" t="s">
        <v>50</v>
      </c>
      <c r="B28" s="7" t="s">
        <v>55</v>
      </c>
      <c r="C28" s="7" t="s">
        <v>31</v>
      </c>
      <c r="D28" s="7" t="s">
        <v>52</v>
      </c>
      <c r="E28" s="8" t="s">
        <v>53</v>
      </c>
      <c r="F28" s="9">
        <v>323</v>
      </c>
      <c r="G28" s="9">
        <v>510</v>
      </c>
      <c r="H28" s="10">
        <f>(F28+G28)*(1+0.3+0.466+0.413+0.18)+311</f>
        <v>2276.047</v>
      </c>
      <c r="K28" s="13">
        <f>19.2%</f>
        <v>0.192</v>
      </c>
      <c r="L28" s="13">
        <f>0</f>
        <v>0</v>
      </c>
      <c r="M28" s="14">
        <f>60.25%+K28/2+L28/4</f>
        <v>0.69850000000000001</v>
      </c>
      <c r="N28" s="14">
        <f>60.25%*2+K28+L28/2</f>
        <v>1.397</v>
      </c>
      <c r="O28" s="13">
        <f>0.466+0.5+0.8</f>
        <v>1.766</v>
      </c>
      <c r="P28" s="9">
        <f t="shared" si="0"/>
        <v>0.5</v>
      </c>
      <c r="Q28" s="9">
        <f t="shared" si="1"/>
        <v>0.9</v>
      </c>
      <c r="R28" s="13">
        <v>0.63590000000000002</v>
      </c>
      <c r="S28" s="7" t="s">
        <v>54</v>
      </c>
      <c r="T28" s="10">
        <f>H28*R28*(1+O28)*(1+N28)*P28*Q28*1.5879</f>
        <v>6856.8701182019595</v>
      </c>
      <c r="U28" s="10"/>
    </row>
    <row r="30" spans="1:21" x14ac:dyDescent="0.25">
      <c r="A30" s="7" t="s">
        <v>9</v>
      </c>
      <c r="B30" s="7" t="s">
        <v>10</v>
      </c>
      <c r="C30" s="7" t="s">
        <v>11</v>
      </c>
      <c r="D30" s="7" t="s">
        <v>12</v>
      </c>
      <c r="E30" s="8" t="s">
        <v>13</v>
      </c>
      <c r="F30" s="9" t="s">
        <v>14</v>
      </c>
      <c r="G30" s="9" t="s">
        <v>15</v>
      </c>
      <c r="H30" s="10" t="s">
        <v>16</v>
      </c>
      <c r="I30" s="11" t="s">
        <v>18</v>
      </c>
      <c r="K30" s="13" t="s">
        <v>19</v>
      </c>
      <c r="L30" s="13" t="s">
        <v>20</v>
      </c>
      <c r="M30" s="14" t="s">
        <v>21</v>
      </c>
      <c r="N30" s="14" t="s">
        <v>22</v>
      </c>
      <c r="O30" s="13" t="s">
        <v>23</v>
      </c>
      <c r="P30" s="9" t="s">
        <v>24</v>
      </c>
      <c r="Q30" s="9" t="s">
        <v>25</v>
      </c>
      <c r="R30" s="13" t="s">
        <v>26</v>
      </c>
      <c r="S30" s="7" t="s">
        <v>27</v>
      </c>
      <c r="T30" s="10" t="s">
        <v>28</v>
      </c>
    </row>
    <row r="31" spans="1:21" x14ac:dyDescent="0.25">
      <c r="A31" s="7" t="s">
        <v>56</v>
      </c>
      <c r="B31" s="7" t="s">
        <v>57</v>
      </c>
      <c r="C31" s="7" t="s">
        <v>58</v>
      </c>
      <c r="D31" s="7" t="s">
        <v>52</v>
      </c>
      <c r="E31" s="8" t="s">
        <v>59</v>
      </c>
      <c r="F31" s="9">
        <v>240</v>
      </c>
      <c r="G31" s="9">
        <f>608</f>
        <v>608</v>
      </c>
      <c r="H31" s="10">
        <f>(F31+G31)*(1+0.3+0.466)+311</f>
        <v>1808.568</v>
      </c>
      <c r="I31" s="11">
        <f>80+80</f>
        <v>160</v>
      </c>
      <c r="K31" s="13">
        <f>33.1%</f>
        <v>0.33100000000000002</v>
      </c>
      <c r="L31" s="13">
        <f>0</f>
        <v>0</v>
      </c>
      <c r="M31" s="14">
        <f t="shared" ref="M31:M36" si="2">60.25%+K31/2+L31/4</f>
        <v>0.76800000000000002</v>
      </c>
      <c r="N31" s="14">
        <f t="shared" ref="N31:N36" si="3">60.25%*2+K31+L31/2</f>
        <v>1.536</v>
      </c>
      <c r="O31" s="13">
        <f>0.466+0.35+0.4+0.6+0.24+0.2</f>
        <v>2.2560000000000002</v>
      </c>
      <c r="P31" s="9">
        <f t="shared" ref="P31:P36" si="4">0.5</f>
        <v>0.5</v>
      </c>
      <c r="Q31" s="9">
        <f t="shared" ref="Q31:Q36" si="5">0.9</f>
        <v>0.9</v>
      </c>
      <c r="R31" s="13">
        <v>2.7292000000000001</v>
      </c>
      <c r="S31" s="7" t="s">
        <v>60</v>
      </c>
      <c r="T31" s="10">
        <f>H31*R31*(1+O31)*(1+N31)*P31*Q31*1.5*(1+(2.78*I31)/(I31+1400))</f>
        <v>35355.263513504397</v>
      </c>
    </row>
    <row r="32" spans="1:21" x14ac:dyDescent="0.25">
      <c r="A32" s="7" t="s">
        <v>56</v>
      </c>
      <c r="B32" s="7" t="s">
        <v>61</v>
      </c>
      <c r="C32" s="7" t="s">
        <v>58</v>
      </c>
      <c r="D32" s="7" t="s">
        <v>52</v>
      </c>
      <c r="E32" s="8" t="s">
        <v>59</v>
      </c>
      <c r="F32" s="9">
        <v>240</v>
      </c>
      <c r="G32" s="9">
        <v>510</v>
      </c>
      <c r="H32" s="10">
        <f>(F32+G32)*(1+0.3+0.466)+311</f>
        <v>1635.5</v>
      </c>
      <c r="I32" s="11">
        <f>80+80+480</f>
        <v>640</v>
      </c>
      <c r="K32" s="13">
        <f>0</f>
        <v>0</v>
      </c>
      <c r="L32" s="13">
        <f>55.1%</f>
        <v>0.55100000000000005</v>
      </c>
      <c r="M32" s="14">
        <f t="shared" si="2"/>
        <v>0.74025000000000007</v>
      </c>
      <c r="N32" s="14">
        <f t="shared" si="3"/>
        <v>1.4805000000000001</v>
      </c>
      <c r="O32" s="13">
        <f>0.466+0.35+0.6+0.24+0.2</f>
        <v>1.8559999999999999</v>
      </c>
      <c r="P32" s="9">
        <f t="shared" si="4"/>
        <v>0.5</v>
      </c>
      <c r="Q32" s="9">
        <f t="shared" si="5"/>
        <v>0.9</v>
      </c>
      <c r="R32" s="13">
        <v>2.7292000000000001</v>
      </c>
      <c r="S32" s="7" t="s">
        <v>60</v>
      </c>
      <c r="T32" s="10">
        <f>H32*R32*(1+O32)*(1+N32)*P32*Q32*1.5*(1+(2.78*I32)/(I32+1400))</f>
        <v>39960.356366790358</v>
      </c>
    </row>
    <row r="33" spans="1:20" x14ac:dyDescent="0.25">
      <c r="T33" s="8"/>
    </row>
    <row r="34" spans="1:20" x14ac:dyDescent="0.25">
      <c r="A34" s="7" t="s">
        <v>9</v>
      </c>
      <c r="B34" s="7" t="s">
        <v>10</v>
      </c>
      <c r="C34" s="7" t="s">
        <v>11</v>
      </c>
      <c r="D34" s="7" t="s">
        <v>12</v>
      </c>
      <c r="E34" s="8" t="s">
        <v>13</v>
      </c>
      <c r="F34" s="9" t="s">
        <v>14</v>
      </c>
      <c r="G34" s="9" t="s">
        <v>15</v>
      </c>
      <c r="H34" s="10" t="s">
        <v>16</v>
      </c>
      <c r="I34" s="11" t="s">
        <v>18</v>
      </c>
      <c r="K34" s="13" t="s">
        <v>19</v>
      </c>
      <c r="L34" s="13" t="s">
        <v>20</v>
      </c>
      <c r="M34" s="14" t="s">
        <v>21</v>
      </c>
      <c r="N34" s="14" t="s">
        <v>22</v>
      </c>
      <c r="O34" s="13" t="s">
        <v>23</v>
      </c>
      <c r="P34" s="9" t="s">
        <v>24</v>
      </c>
      <c r="Q34" s="9" t="s">
        <v>25</v>
      </c>
      <c r="R34" s="13" t="s">
        <v>26</v>
      </c>
      <c r="S34" s="7" t="s">
        <v>27</v>
      </c>
      <c r="T34" s="10" t="s">
        <v>28</v>
      </c>
    </row>
    <row r="35" spans="1:20" x14ac:dyDescent="0.25">
      <c r="A35" s="7" t="s">
        <v>62</v>
      </c>
      <c r="B35" s="7" t="s">
        <v>57</v>
      </c>
      <c r="C35" s="7" t="s">
        <v>38</v>
      </c>
      <c r="D35" s="7" t="s">
        <v>52</v>
      </c>
      <c r="E35" s="8" t="s">
        <v>33</v>
      </c>
      <c r="F35" s="9">
        <v>311</v>
      </c>
      <c r="G35" s="9">
        <f>608</f>
        <v>608</v>
      </c>
      <c r="H35" s="10">
        <f>(F35+G35)*(1+0.3+0.466)+311</f>
        <v>1933.954</v>
      </c>
      <c r="I35" s="11">
        <f>80</f>
        <v>80</v>
      </c>
      <c r="K35" s="13">
        <f>33.1%</f>
        <v>0.33100000000000002</v>
      </c>
      <c r="L35" s="13">
        <f t="shared" ref="L35:L40" si="6">0</f>
        <v>0</v>
      </c>
      <c r="M35" s="14">
        <f t="shared" si="2"/>
        <v>0.76800000000000002</v>
      </c>
      <c r="N35" s="14">
        <f t="shared" si="3"/>
        <v>1.536</v>
      </c>
      <c r="O35" s="13">
        <f>0.466+0.3+0.288+0.4+0.5</f>
        <v>1.9540000000000002</v>
      </c>
      <c r="P35" s="9">
        <f t="shared" si="4"/>
        <v>0.5</v>
      </c>
      <c r="Q35" s="9">
        <f t="shared" si="5"/>
        <v>0.9</v>
      </c>
      <c r="R35" s="13">
        <v>2.8325</v>
      </c>
      <c r="S35" s="7" t="s">
        <v>63</v>
      </c>
      <c r="T35" s="10">
        <f t="shared" ref="T35:T40" si="7">H35*R35*(1+O35)*(1+N35)*P35*Q35*1.5*(1+(2.78*I35)/(I35+1400)+0.15)</f>
        <v>36017.470103856205</v>
      </c>
    </row>
    <row r="36" spans="1:20" x14ac:dyDescent="0.25">
      <c r="A36" s="7" t="s">
        <v>62</v>
      </c>
      <c r="B36" s="7" t="s">
        <v>61</v>
      </c>
      <c r="C36" s="7" t="s">
        <v>38</v>
      </c>
      <c r="D36" s="7" t="s">
        <v>52</v>
      </c>
      <c r="E36" s="8" t="s">
        <v>33</v>
      </c>
      <c r="F36" s="9">
        <v>311</v>
      </c>
      <c r="G36" s="9">
        <v>510</v>
      </c>
      <c r="H36" s="10">
        <f>(F36+G36)*(1+0.3+0.466)+311</f>
        <v>1760.886</v>
      </c>
      <c r="I36" s="11">
        <f>80+480</f>
        <v>560</v>
      </c>
      <c r="K36" s="13">
        <f>0</f>
        <v>0</v>
      </c>
      <c r="L36" s="13">
        <f>55.1%</f>
        <v>0.55100000000000005</v>
      </c>
      <c r="M36" s="14">
        <f t="shared" si="2"/>
        <v>0.74025000000000007</v>
      </c>
      <c r="N36" s="14">
        <f t="shared" si="3"/>
        <v>1.4805000000000001</v>
      </c>
      <c r="O36" s="13">
        <f>0.466+0.3+0.5+0.288</f>
        <v>1.554</v>
      </c>
      <c r="P36" s="9">
        <f t="shared" si="4"/>
        <v>0.5</v>
      </c>
      <c r="Q36" s="9">
        <f t="shared" si="5"/>
        <v>0.9</v>
      </c>
      <c r="R36" s="13">
        <v>2.8325</v>
      </c>
      <c r="S36" s="7" t="s">
        <v>63</v>
      </c>
      <c r="T36" s="10">
        <f t="shared" si="7"/>
        <v>41469.150744674822</v>
      </c>
    </row>
    <row r="37" spans="1:20" x14ac:dyDescent="0.25">
      <c r="T37" s="8"/>
    </row>
    <row r="38" spans="1:20" x14ac:dyDescent="0.25">
      <c r="A38" s="7" t="s">
        <v>9</v>
      </c>
      <c r="B38" s="7" t="s">
        <v>10</v>
      </c>
      <c r="C38" s="7" t="s">
        <v>11</v>
      </c>
      <c r="D38" s="7" t="s">
        <v>12</v>
      </c>
      <c r="E38" s="8" t="s">
        <v>13</v>
      </c>
      <c r="F38" s="9" t="s">
        <v>14</v>
      </c>
      <c r="G38" s="9" t="s">
        <v>15</v>
      </c>
      <c r="H38" s="10" t="s">
        <v>16</v>
      </c>
      <c r="I38" s="11" t="s">
        <v>18</v>
      </c>
      <c r="K38" s="13" t="s">
        <v>19</v>
      </c>
      <c r="L38" s="13" t="s">
        <v>20</v>
      </c>
      <c r="M38" s="14" t="s">
        <v>21</v>
      </c>
      <c r="N38" s="14" t="s">
        <v>22</v>
      </c>
      <c r="O38" s="13" t="s">
        <v>23</v>
      </c>
      <c r="P38" s="9" t="s">
        <v>24</v>
      </c>
      <c r="Q38" s="9" t="s">
        <v>25</v>
      </c>
      <c r="R38" s="13" t="s">
        <v>26</v>
      </c>
      <c r="S38" s="7" t="s">
        <v>27</v>
      </c>
      <c r="T38" s="10" t="s">
        <v>28</v>
      </c>
    </row>
    <row r="39" spans="1:20" x14ac:dyDescent="0.25">
      <c r="A39" s="7" t="s">
        <v>64</v>
      </c>
      <c r="B39" s="7" t="s">
        <v>65</v>
      </c>
      <c r="C39" s="7" t="s">
        <v>38</v>
      </c>
      <c r="D39" s="7" t="s">
        <v>35</v>
      </c>
      <c r="E39" s="8" t="s">
        <v>33</v>
      </c>
      <c r="F39" s="9">
        <v>335</v>
      </c>
      <c r="G39" s="9">
        <f>608</f>
        <v>608</v>
      </c>
      <c r="H39" s="10">
        <f>(F39+G39)*(1+0.3+0.496+0.2)+311</f>
        <v>2193.2280000000001</v>
      </c>
      <c r="I39" s="11">
        <f>80+187</f>
        <v>267</v>
      </c>
      <c r="K39" s="13">
        <f>19.2%</f>
        <v>0.192</v>
      </c>
      <c r="L39" s="13">
        <f t="shared" si="6"/>
        <v>0</v>
      </c>
      <c r="M39" s="14">
        <f>60.25%+K39/2+L39/4</f>
        <v>0.69850000000000001</v>
      </c>
      <c r="N39" s="14">
        <f>60.25%*2+K39+L39/2</f>
        <v>1.397</v>
      </c>
      <c r="O39" s="13">
        <f>0.466+0.375+0.2</f>
        <v>1.0409999999999999</v>
      </c>
      <c r="P39" s="9">
        <f t="shared" ref="P39:P46" si="8">0.5</f>
        <v>0.5</v>
      </c>
      <c r="Q39" s="9">
        <f>0.9</f>
        <v>0.9</v>
      </c>
      <c r="R39" s="13">
        <v>3.2639999999999998</v>
      </c>
      <c r="S39" s="7" t="s">
        <v>66</v>
      </c>
      <c r="T39" s="10">
        <f t="shared" si="7"/>
        <v>37712.220998901008</v>
      </c>
    </row>
    <row r="40" spans="1:20" x14ac:dyDescent="0.25">
      <c r="A40" s="7" t="s">
        <v>64</v>
      </c>
      <c r="B40" s="7" t="s">
        <v>67</v>
      </c>
      <c r="C40" s="7" t="s">
        <v>38</v>
      </c>
      <c r="D40" s="7" t="s">
        <v>52</v>
      </c>
      <c r="E40" s="8" t="s">
        <v>33</v>
      </c>
      <c r="F40" s="9">
        <v>335</v>
      </c>
      <c r="G40" s="9">
        <v>510</v>
      </c>
      <c r="H40" s="10">
        <f>(F40+G40)*(1+0.3+0.466)+311</f>
        <v>1803.27</v>
      </c>
      <c r="I40" s="11">
        <f>80</f>
        <v>80</v>
      </c>
      <c r="K40" s="13">
        <f>19.2%+27.6%</f>
        <v>0.46800000000000003</v>
      </c>
      <c r="L40" s="13">
        <f t="shared" si="6"/>
        <v>0</v>
      </c>
      <c r="M40" s="14">
        <f>60.25%+K40/2+L40/4</f>
        <v>0.83650000000000002</v>
      </c>
      <c r="N40" s="14">
        <f>60.25%*2+K40+L40/2</f>
        <v>1.673</v>
      </c>
      <c r="O40" s="13">
        <f>0.466+0.375+0.2+0.4</f>
        <v>1.4409999999999998</v>
      </c>
      <c r="P40" s="9">
        <f t="shared" si="8"/>
        <v>0.5</v>
      </c>
      <c r="Q40" s="9">
        <f>0.9</f>
        <v>0.9</v>
      </c>
      <c r="R40" s="13">
        <v>3.2639999999999998</v>
      </c>
      <c r="S40" s="7" t="s">
        <v>66</v>
      </c>
      <c r="T40" s="10">
        <f t="shared" si="7"/>
        <v>33706.608095392454</v>
      </c>
    </row>
    <row r="42" spans="1:20" x14ac:dyDescent="0.25">
      <c r="A42" s="7" t="s">
        <v>9</v>
      </c>
      <c r="B42" s="7" t="s">
        <v>10</v>
      </c>
      <c r="C42" s="7" t="s">
        <v>11</v>
      </c>
      <c r="D42" s="7" t="s">
        <v>12</v>
      </c>
      <c r="E42" s="8" t="s">
        <v>13</v>
      </c>
      <c r="F42" s="9" t="s">
        <v>14</v>
      </c>
      <c r="G42" s="9" t="s">
        <v>15</v>
      </c>
      <c r="H42" s="10" t="s">
        <v>16</v>
      </c>
      <c r="I42" s="11" t="s">
        <v>68</v>
      </c>
      <c r="K42" s="13" t="s">
        <v>19</v>
      </c>
      <c r="L42" s="13" t="s">
        <v>20</v>
      </c>
      <c r="M42" s="14" t="s">
        <v>21</v>
      </c>
      <c r="N42" s="14" t="s">
        <v>22</v>
      </c>
      <c r="O42" s="13" t="s">
        <v>23</v>
      </c>
      <c r="P42" s="9" t="s">
        <v>24</v>
      </c>
      <c r="Q42" s="9" t="s">
        <v>25</v>
      </c>
      <c r="R42" s="13" t="s">
        <v>26</v>
      </c>
      <c r="S42" s="7" t="s">
        <v>27</v>
      </c>
      <c r="T42" s="10" t="s">
        <v>28</v>
      </c>
    </row>
    <row r="43" spans="1:20" x14ac:dyDescent="0.25">
      <c r="A43" s="7" t="s">
        <v>69</v>
      </c>
      <c r="B43" s="7" t="s">
        <v>70</v>
      </c>
      <c r="C43" s="7" t="s">
        <v>71</v>
      </c>
      <c r="D43" s="7" t="s">
        <v>72</v>
      </c>
      <c r="E43" s="8" t="s">
        <v>73</v>
      </c>
      <c r="F43" s="9">
        <v>249</v>
      </c>
      <c r="G43" s="9">
        <f>608</f>
        <v>608</v>
      </c>
      <c r="H43" s="10">
        <f>(F43+G43)*(1+0.3+0.496+0.4+0.24+0.466)+311</f>
        <v>2798.0140000000001</v>
      </c>
      <c r="I43" s="11">
        <f>799*(1+0.3)</f>
        <v>1038.7</v>
      </c>
      <c r="K43" s="13">
        <f>0</f>
        <v>0</v>
      </c>
      <c r="L43" s="13">
        <f>0</f>
        <v>0</v>
      </c>
      <c r="M43" s="14">
        <f>60.25%+K43/2+L43/4</f>
        <v>0.60250000000000004</v>
      </c>
      <c r="N43" s="14">
        <f>60.25%*2+K43+L43/2</f>
        <v>1.2050000000000001</v>
      </c>
      <c r="O43" s="13">
        <f>0.583+0.5</f>
        <v>1.083</v>
      </c>
      <c r="P43" s="9">
        <f t="shared" si="8"/>
        <v>0.5</v>
      </c>
      <c r="Q43" s="9">
        <v>1.0249999999999999</v>
      </c>
      <c r="R43" s="13">
        <v>7.2420000000000009</v>
      </c>
      <c r="S43" s="7" t="s">
        <v>74</v>
      </c>
      <c r="T43" s="10">
        <f>H43*R43*(1+O43)*(1+N43)*P43*Q43</f>
        <v>47697.996473314233</v>
      </c>
    </row>
    <row r="44" spans="1:20" x14ac:dyDescent="0.25">
      <c r="A44" s="7" t="s">
        <v>69</v>
      </c>
      <c r="B44" s="7" t="s">
        <v>75</v>
      </c>
      <c r="C44" s="7" t="s">
        <v>71</v>
      </c>
      <c r="D44" s="7" t="s">
        <v>72</v>
      </c>
      <c r="E44" s="8" t="s">
        <v>73</v>
      </c>
      <c r="F44" s="9">
        <v>249</v>
      </c>
      <c r="G44" s="9">
        <v>510</v>
      </c>
      <c r="H44" s="10">
        <f>(F44+G44)*(1+0.3+0.36+0.466)+311</f>
        <v>1924.6340000000002</v>
      </c>
      <c r="I44" s="11">
        <f>799*(1+0.3+0.517+0.36)</f>
        <v>1739.423</v>
      </c>
      <c r="K44" s="13">
        <f>0</f>
        <v>0</v>
      </c>
      <c r="L44" s="13">
        <f>0</f>
        <v>0</v>
      </c>
      <c r="M44" s="14">
        <f>60.25%+K44/2+L44/4</f>
        <v>0.60250000000000004</v>
      </c>
      <c r="N44" s="14">
        <f>60.25%*2+K44+L44/2</f>
        <v>1.2050000000000001</v>
      </c>
      <c r="O44" s="13">
        <f>0.583+0.5</f>
        <v>1.083</v>
      </c>
      <c r="P44" s="9">
        <f t="shared" si="8"/>
        <v>0.5</v>
      </c>
      <c r="Q44" s="9">
        <v>1.0249999999999999</v>
      </c>
      <c r="R44" s="13">
        <v>7.2420000000000009</v>
      </c>
      <c r="S44" s="7" t="s">
        <v>74</v>
      </c>
      <c r="T44" s="10">
        <f>H44*R44*(1+O44)*(1+N44)*P44*Q44</f>
        <v>32809.409010970165</v>
      </c>
    </row>
    <row r="45" spans="1:20" x14ac:dyDescent="0.25">
      <c r="A45" s="7" t="s">
        <v>69</v>
      </c>
      <c r="B45" s="7" t="s">
        <v>76</v>
      </c>
      <c r="C45" s="7" t="s">
        <v>77</v>
      </c>
      <c r="D45" s="7" t="s">
        <v>78</v>
      </c>
      <c r="E45" s="8" t="s">
        <v>79</v>
      </c>
      <c r="F45" s="9">
        <v>249</v>
      </c>
      <c r="G45" s="9">
        <v>565</v>
      </c>
      <c r="H45" s="10">
        <f>(F45+G45)*(1+0.3+0.24+0.2)+311</f>
        <v>1727.36</v>
      </c>
      <c r="I45" s="11">
        <f>799*(1+0.3+0.36+0.583*3)</f>
        <v>2723.7909999999997</v>
      </c>
      <c r="K45" s="13">
        <f>0</f>
        <v>0</v>
      </c>
      <c r="L45" s="13">
        <f>0</f>
        <v>0</v>
      </c>
      <c r="M45" s="14" t="s">
        <v>45</v>
      </c>
      <c r="N45" s="14" t="s">
        <v>45</v>
      </c>
      <c r="O45" s="13">
        <f>0.583+0.5</f>
        <v>1.083</v>
      </c>
      <c r="P45" s="9">
        <f t="shared" si="8"/>
        <v>0.5</v>
      </c>
      <c r="Q45" s="9">
        <v>1.0249999999999999</v>
      </c>
      <c r="R45" s="13">
        <v>3.2639999999999998</v>
      </c>
      <c r="S45" s="7" t="s">
        <v>80</v>
      </c>
      <c r="T45" s="10">
        <f>1773+288%*I45</f>
        <v>9617.518079999998</v>
      </c>
    </row>
    <row r="46" spans="1:20" x14ac:dyDescent="0.25">
      <c r="A46" s="7" t="s">
        <v>69</v>
      </c>
      <c r="B46" s="7" t="s">
        <v>75</v>
      </c>
      <c r="C46" s="7" t="s">
        <v>77</v>
      </c>
      <c r="D46" s="7" t="s">
        <v>78</v>
      </c>
      <c r="E46" s="8" t="s">
        <v>79</v>
      </c>
      <c r="F46" s="9">
        <v>249</v>
      </c>
      <c r="G46" s="9">
        <v>510</v>
      </c>
      <c r="H46" s="10">
        <f>(F46+G46)*(1+0.3+0.24+0.36+0.2)+311</f>
        <v>1904.9</v>
      </c>
      <c r="I46" s="11">
        <f>799*(1+0.3+0.517+0.36+0.583*3)</f>
        <v>3136.8740000000003</v>
      </c>
      <c r="K46" s="13">
        <f>0</f>
        <v>0</v>
      </c>
      <c r="L46" s="13">
        <f>0</f>
        <v>0</v>
      </c>
      <c r="M46" s="14" t="s">
        <v>45</v>
      </c>
      <c r="N46" s="14" t="s">
        <v>45</v>
      </c>
      <c r="O46" s="13">
        <f>0.583+0.5</f>
        <v>1.083</v>
      </c>
      <c r="P46" s="9">
        <f t="shared" si="8"/>
        <v>0.5</v>
      </c>
      <c r="Q46" s="9">
        <v>1.0249999999999999</v>
      </c>
      <c r="R46" s="13">
        <v>3.2639999999999998</v>
      </c>
      <c r="S46" s="7" t="s">
        <v>80</v>
      </c>
      <c r="T46" s="10">
        <f>1773+288%*I46</f>
        <v>10807.197120000001</v>
      </c>
    </row>
    <row r="48" spans="1:20" x14ac:dyDescent="0.25">
      <c r="A48" s="7" t="s">
        <v>9</v>
      </c>
      <c r="B48" s="7" t="s">
        <v>10</v>
      </c>
      <c r="C48" s="7" t="s">
        <v>11</v>
      </c>
      <c r="D48" s="7" t="s">
        <v>12</v>
      </c>
      <c r="E48" s="8" t="s">
        <v>13</v>
      </c>
      <c r="F48" s="9" t="s">
        <v>14</v>
      </c>
      <c r="G48" s="9" t="s">
        <v>15</v>
      </c>
      <c r="H48" s="10" t="s">
        <v>16</v>
      </c>
      <c r="I48" s="11" t="s">
        <v>18</v>
      </c>
      <c r="K48" s="13" t="s">
        <v>19</v>
      </c>
      <c r="L48" s="13" t="s">
        <v>20</v>
      </c>
      <c r="M48" s="14" t="s">
        <v>21</v>
      </c>
      <c r="N48" s="14" t="s">
        <v>22</v>
      </c>
      <c r="O48" s="13" t="s">
        <v>23</v>
      </c>
      <c r="P48" s="9" t="s">
        <v>24</v>
      </c>
      <c r="Q48" s="9" t="s">
        <v>25</v>
      </c>
      <c r="R48" s="13" t="s">
        <v>26</v>
      </c>
      <c r="S48" s="7" t="s">
        <v>27</v>
      </c>
      <c r="T48" s="10" t="s">
        <v>28</v>
      </c>
    </row>
    <row r="49" spans="1:20" x14ac:dyDescent="0.25">
      <c r="A49" s="7" t="s">
        <v>81</v>
      </c>
      <c r="B49" s="7" t="s">
        <v>82</v>
      </c>
      <c r="C49" s="7" t="s">
        <v>83</v>
      </c>
      <c r="D49" s="7" t="s">
        <v>52</v>
      </c>
      <c r="E49" s="8" t="s">
        <v>84</v>
      </c>
      <c r="F49" s="9">
        <v>223</v>
      </c>
      <c r="G49" s="9">
        <f>608</f>
        <v>608</v>
      </c>
      <c r="H49" s="10">
        <f>(F49+G49)*(1+0.3+0.24+0.466+0.2+0.2)+311</f>
        <v>2310.3860000000004</v>
      </c>
      <c r="I49" s="11">
        <f>80+160</f>
        <v>240</v>
      </c>
      <c r="K49" s="13">
        <f>0</f>
        <v>0</v>
      </c>
      <c r="L49" s="13">
        <f t="shared" ref="L49:L58" si="9">0</f>
        <v>0</v>
      </c>
      <c r="M49" s="14">
        <f t="shared" ref="M49:M56" si="10">60.25%+K49/2+L49/4</f>
        <v>0.60250000000000004</v>
      </c>
      <c r="N49" s="14">
        <f>60.25%*2+K49+L49/2</f>
        <v>1.2050000000000001</v>
      </c>
      <c r="O49" s="13">
        <f>0.466+0.2</f>
        <v>0.66600000000000004</v>
      </c>
      <c r="P49" s="9">
        <f t="shared" ref="P49:P58" si="11">0.5</f>
        <v>0.5</v>
      </c>
      <c r="Q49" s="9">
        <f t="shared" ref="Q49:Q58" si="12">0.9</f>
        <v>0.9</v>
      </c>
      <c r="R49" s="13">
        <v>10.1088</v>
      </c>
      <c r="S49" s="7" t="s">
        <v>85</v>
      </c>
      <c r="T49" s="10">
        <f>H49*R49*(1+O49)*(1+N49)*P49*Q49</f>
        <v>38608.262122565131</v>
      </c>
    </row>
    <row r="50" spans="1:20" x14ac:dyDescent="0.25">
      <c r="A50" s="7" t="s">
        <v>81</v>
      </c>
      <c r="B50" s="7" t="s">
        <v>86</v>
      </c>
      <c r="C50" s="7" t="s">
        <v>58</v>
      </c>
      <c r="D50" s="7" t="s">
        <v>52</v>
      </c>
      <c r="E50" s="8" t="s">
        <v>84</v>
      </c>
      <c r="F50" s="9">
        <v>223</v>
      </c>
      <c r="G50" s="9">
        <v>608</v>
      </c>
      <c r="H50" s="10">
        <f>(F50+G50)*(1+0.3+0.466+0.24+0.496)+311</f>
        <v>2390.1620000000003</v>
      </c>
      <c r="I50" s="11">
        <f>80+80</f>
        <v>160</v>
      </c>
      <c r="K50" s="13">
        <f>0</f>
        <v>0</v>
      </c>
      <c r="L50" s="13">
        <f t="shared" si="9"/>
        <v>0</v>
      </c>
      <c r="M50" s="14">
        <f t="shared" si="10"/>
        <v>0.60250000000000004</v>
      </c>
      <c r="N50" s="14">
        <f>60.25%*2+K50+L50/2</f>
        <v>1.2050000000000001</v>
      </c>
      <c r="O50" s="13">
        <f>0.466+0.35+0.12+0.4</f>
        <v>1.3360000000000001</v>
      </c>
      <c r="P50" s="9">
        <f t="shared" si="11"/>
        <v>0.5</v>
      </c>
      <c r="Q50" s="9">
        <f t="shared" si="12"/>
        <v>0.9</v>
      </c>
      <c r="R50" s="13">
        <v>2.2319999999999998</v>
      </c>
      <c r="S50" s="7" t="s">
        <v>87</v>
      </c>
      <c r="T50" s="10">
        <f>H50*R50*(1+O50)*(1+N50)*P50*Q50*1.5*(1+(2.78*I50)/(I50+1400)+0.15)</f>
        <v>26619.349153055431</v>
      </c>
    </row>
    <row r="52" spans="1:20" x14ac:dyDescent="0.25">
      <c r="A52" s="7" t="s">
        <v>9</v>
      </c>
      <c r="B52" s="7" t="s">
        <v>10</v>
      </c>
      <c r="C52" s="7" t="s">
        <v>11</v>
      </c>
      <c r="D52" s="7" t="s">
        <v>12</v>
      </c>
      <c r="E52" s="8" t="s">
        <v>13</v>
      </c>
      <c r="F52" s="9" t="s">
        <v>14</v>
      </c>
      <c r="G52" s="9" t="s">
        <v>15</v>
      </c>
      <c r="H52" s="10" t="s">
        <v>16</v>
      </c>
      <c r="I52" s="11" t="s">
        <v>18</v>
      </c>
      <c r="J52" s="15" t="s">
        <v>39</v>
      </c>
      <c r="K52" s="13" t="s">
        <v>19</v>
      </c>
      <c r="L52" s="13" t="s">
        <v>20</v>
      </c>
      <c r="M52" s="14" t="s">
        <v>21</v>
      </c>
      <c r="N52" s="14" t="s">
        <v>22</v>
      </c>
      <c r="O52" s="13" t="s">
        <v>23</v>
      </c>
      <c r="P52" s="9" t="s">
        <v>24</v>
      </c>
      <c r="Q52" s="9" t="s">
        <v>25</v>
      </c>
      <c r="R52" s="13" t="s">
        <v>26</v>
      </c>
      <c r="S52" s="7" t="s">
        <v>27</v>
      </c>
      <c r="T52" s="10" t="s">
        <v>28</v>
      </c>
    </row>
    <row r="53" spans="1:20" x14ac:dyDescent="0.25">
      <c r="A53" s="7" t="s">
        <v>88</v>
      </c>
      <c r="B53" s="12" t="s">
        <v>89</v>
      </c>
      <c r="C53" s="7" t="s">
        <v>90</v>
      </c>
      <c r="D53" s="12" t="s">
        <v>91</v>
      </c>
      <c r="E53" s="8" t="s">
        <v>92</v>
      </c>
      <c r="F53" s="9">
        <v>225</v>
      </c>
      <c r="G53" s="9">
        <v>608</v>
      </c>
      <c r="H53" s="10">
        <f>(F53+G53)*(1+0.3+0.25+0.28*(J53-1))+311</f>
        <v>1936.61616</v>
      </c>
      <c r="I53" s="11">
        <f>60+96</f>
        <v>156</v>
      </c>
      <c r="J53" s="15">
        <f>1+0.2+5.5%*3+0.551+0.518</f>
        <v>2.4340000000000002</v>
      </c>
      <c r="K53" s="13">
        <v>0</v>
      </c>
      <c r="L53" s="13">
        <f t="shared" si="9"/>
        <v>0</v>
      </c>
      <c r="M53" s="14">
        <f>60.25%+K53/2+L53/4</f>
        <v>0.60250000000000004</v>
      </c>
      <c r="N53" s="14">
        <f t="shared" ref="N53:N58" si="13">60.25%*2+K53+L53/2</f>
        <v>1.2050000000000001</v>
      </c>
      <c r="O53" s="13">
        <f>0.466+0.25*J53</f>
        <v>1.0745</v>
      </c>
      <c r="P53" s="9">
        <f t="shared" si="11"/>
        <v>0.5</v>
      </c>
      <c r="Q53" s="9">
        <f t="shared" si="12"/>
        <v>0.9</v>
      </c>
      <c r="R53" s="13">
        <v>2.38</v>
      </c>
      <c r="S53" s="7" t="s">
        <v>93</v>
      </c>
      <c r="T53" s="10">
        <f>(H53+1202)*R53*(1+O53)*(1+N53)*P53*Q53*1.5*(1+(2.78*I53)/(I53+1400))</f>
        <v>29492.705296855122</v>
      </c>
    </row>
    <row r="54" spans="1:20" x14ac:dyDescent="0.25">
      <c r="A54" s="7" t="s">
        <v>88</v>
      </c>
      <c r="B54" s="12" t="s">
        <v>89</v>
      </c>
      <c r="C54" s="7" t="s">
        <v>90</v>
      </c>
      <c r="D54" s="7" t="s">
        <v>35</v>
      </c>
      <c r="E54" s="8" t="s">
        <v>92</v>
      </c>
      <c r="F54" s="9">
        <v>225</v>
      </c>
      <c r="G54" s="9">
        <v>608</v>
      </c>
      <c r="H54" s="10">
        <f>(F54+G54)*(1+0.3+0.25+0.28*(J54-1))+311</f>
        <v>1815.7978400000002</v>
      </c>
      <c r="I54" s="11">
        <f>60+96+187</f>
        <v>343</v>
      </c>
      <c r="J54" s="15">
        <f>1+0.2+5.5%*3+0.551</f>
        <v>1.9159999999999999</v>
      </c>
      <c r="K54" s="13">
        <v>0</v>
      </c>
      <c r="L54" s="13">
        <f t="shared" si="9"/>
        <v>0</v>
      </c>
      <c r="M54" s="14">
        <f>60.25%+K54/2+L54/4</f>
        <v>0.60250000000000004</v>
      </c>
      <c r="N54" s="14">
        <f t="shared" si="13"/>
        <v>1.2050000000000001</v>
      </c>
      <c r="O54" s="13">
        <f>0.466+0.25*J54</f>
        <v>0.94500000000000006</v>
      </c>
      <c r="P54" s="9">
        <f t="shared" si="11"/>
        <v>0.5</v>
      </c>
      <c r="Q54" s="9">
        <f t="shared" si="12"/>
        <v>0.9</v>
      </c>
      <c r="R54" s="13">
        <v>2.38</v>
      </c>
      <c r="S54" s="7" t="s">
        <v>93</v>
      </c>
      <c r="T54" s="10">
        <f>(H54+1202)*R54*(1+O54)*(1+N54)*P54*Q54*1.5*(1+(2.78*I54)/(I54+1400))</f>
        <v>32166.85138111173</v>
      </c>
    </row>
    <row r="55" spans="1:20" x14ac:dyDescent="0.25">
      <c r="A55" s="7" t="s">
        <v>88</v>
      </c>
      <c r="B55" s="7" t="s">
        <v>94</v>
      </c>
      <c r="C55" s="7" t="s">
        <v>90</v>
      </c>
      <c r="D55" s="7" t="s">
        <v>91</v>
      </c>
      <c r="E55" s="8" t="s">
        <v>92</v>
      </c>
      <c r="F55" s="9">
        <v>225</v>
      </c>
      <c r="G55" s="9">
        <v>674</v>
      </c>
      <c r="H55" s="10">
        <f>(F55+G55)*(1+0.3+0.25)+311</f>
        <v>1704.45</v>
      </c>
      <c r="I55" s="11">
        <f>60+96</f>
        <v>156</v>
      </c>
      <c r="J55" s="15">
        <f>1+0.518+0.2+0.368+5.5%*3</f>
        <v>2.2509999999999999</v>
      </c>
      <c r="K55" s="13">
        <v>0.08</v>
      </c>
      <c r="L55" s="13">
        <f t="shared" si="9"/>
        <v>0</v>
      </c>
      <c r="M55" s="14">
        <f t="shared" si="10"/>
        <v>0.64250000000000007</v>
      </c>
      <c r="N55" s="14">
        <f t="shared" si="13"/>
        <v>1.2850000000000001</v>
      </c>
      <c r="O55" s="13">
        <f>0.466+0.25*J55</f>
        <v>1.0287500000000001</v>
      </c>
      <c r="P55" s="9">
        <f t="shared" si="11"/>
        <v>0.5</v>
      </c>
      <c r="Q55" s="9">
        <f t="shared" si="12"/>
        <v>0.9</v>
      </c>
      <c r="R55" s="13">
        <v>2.38</v>
      </c>
      <c r="S55" s="7" t="s">
        <v>93</v>
      </c>
      <c r="T55" s="10">
        <f>2996*R55*(1+O55)*(1+N55)*P55*Q55*1.5*(1+(2.78*I55)/(I55+1400))</f>
        <v>28530.600854572553</v>
      </c>
    </row>
    <row r="56" spans="1:20" x14ac:dyDescent="0.25">
      <c r="A56" s="7" t="s">
        <v>88</v>
      </c>
      <c r="B56" s="7" t="s">
        <v>94</v>
      </c>
      <c r="C56" s="7" t="s">
        <v>90</v>
      </c>
      <c r="D56" s="7" t="s">
        <v>35</v>
      </c>
      <c r="E56" s="8" t="s">
        <v>92</v>
      </c>
      <c r="F56" s="9">
        <v>225</v>
      </c>
      <c r="G56" s="9">
        <v>674</v>
      </c>
      <c r="H56" s="10">
        <f>(F56+G56)*(1+0.3+0.25)+311</f>
        <v>1704.45</v>
      </c>
      <c r="I56" s="11">
        <f>60+96+187</f>
        <v>343</v>
      </c>
      <c r="J56" s="15">
        <f>1+0.2+0.368+5.5%*3</f>
        <v>1.7330000000000001</v>
      </c>
      <c r="K56" s="13">
        <v>0.08</v>
      </c>
      <c r="L56" s="13">
        <f t="shared" si="9"/>
        <v>0</v>
      </c>
      <c r="M56" s="14">
        <f t="shared" si="10"/>
        <v>0.64250000000000007</v>
      </c>
      <c r="N56" s="14">
        <f t="shared" si="13"/>
        <v>1.2850000000000001</v>
      </c>
      <c r="O56" s="13">
        <f>0.466+0.25*J56</f>
        <v>0.8992500000000001</v>
      </c>
      <c r="P56" s="9">
        <f t="shared" si="11"/>
        <v>0.5</v>
      </c>
      <c r="Q56" s="9">
        <f t="shared" si="12"/>
        <v>0.9</v>
      </c>
      <c r="R56" s="13">
        <v>2.38</v>
      </c>
      <c r="S56" s="7" t="s">
        <v>93</v>
      </c>
      <c r="T56" s="10">
        <f>2996*R56*(1+O56)*(1+N56)*P56*Q56*1.5*(1+(2.78*I56)/(I56+1400))</f>
        <v>32314.717098039797</v>
      </c>
    </row>
    <row r="57" spans="1:20" x14ac:dyDescent="0.25">
      <c r="A57" s="7" t="s">
        <v>88</v>
      </c>
      <c r="B57" s="7" t="s">
        <v>95</v>
      </c>
      <c r="C57" s="7" t="s">
        <v>90</v>
      </c>
      <c r="D57" s="7" t="s">
        <v>91</v>
      </c>
      <c r="E57" s="8" t="s">
        <v>92</v>
      </c>
      <c r="F57" s="9">
        <v>225</v>
      </c>
      <c r="G57" s="9">
        <v>510</v>
      </c>
      <c r="H57" s="10">
        <f>(F57+G57)*(1+0.3+0.25)+311</f>
        <v>1450.25</v>
      </c>
      <c r="I57" s="11">
        <f>60+96</f>
        <v>156</v>
      </c>
      <c r="J57" s="15">
        <f>1+0.518+0.2+0.459+5.5%*3</f>
        <v>2.3420000000000001</v>
      </c>
      <c r="K57" s="13">
        <f>12%</f>
        <v>0.12</v>
      </c>
      <c r="L57" s="13">
        <f t="shared" si="9"/>
        <v>0</v>
      </c>
      <c r="M57" s="14">
        <f>60.25%+K57/2+L57/4-12%</f>
        <v>0.54250000000000009</v>
      </c>
      <c r="N57" s="14">
        <f t="shared" si="13"/>
        <v>1.3250000000000002</v>
      </c>
      <c r="O57" s="13">
        <f>0.466+0.25*J57+0.32</f>
        <v>1.3715000000000002</v>
      </c>
      <c r="P57" s="9">
        <f t="shared" si="11"/>
        <v>0.5</v>
      </c>
      <c r="Q57" s="9">
        <f t="shared" si="12"/>
        <v>0.9</v>
      </c>
      <c r="R57" s="13">
        <v>2.38</v>
      </c>
      <c r="S57" s="7" t="s">
        <v>93</v>
      </c>
      <c r="T57" s="10">
        <f>2726*R57*(1+O57)*(1+N57)*P57*Q57*1.5*(1+(2.78*I57)/(I57+1400))</f>
        <v>30876.375181652355</v>
      </c>
    </row>
    <row r="58" spans="1:20" x14ac:dyDescent="0.25">
      <c r="A58" s="7" t="s">
        <v>88</v>
      </c>
      <c r="B58" s="7" t="s">
        <v>95</v>
      </c>
      <c r="C58" s="7" t="s">
        <v>90</v>
      </c>
      <c r="D58" s="7" t="s">
        <v>35</v>
      </c>
      <c r="E58" s="8" t="s">
        <v>92</v>
      </c>
      <c r="F58" s="9">
        <v>225</v>
      </c>
      <c r="G58" s="9">
        <v>510</v>
      </c>
      <c r="H58" s="10">
        <f>(F58+G58)*(1+0.3+0.25)+311</f>
        <v>1450.25</v>
      </c>
      <c r="I58" s="11">
        <f>60+96+187</f>
        <v>343</v>
      </c>
      <c r="J58" s="15">
        <f>1+0.2+0.459+5.5%*3</f>
        <v>1.8240000000000001</v>
      </c>
      <c r="K58" s="13">
        <f>12%</f>
        <v>0.12</v>
      </c>
      <c r="L58" s="13">
        <f t="shared" si="9"/>
        <v>0</v>
      </c>
      <c r="M58" s="14">
        <f>60.25%+K58/2+L58/4-12%</f>
        <v>0.54250000000000009</v>
      </c>
      <c r="N58" s="14">
        <f t="shared" si="13"/>
        <v>1.3250000000000002</v>
      </c>
      <c r="O58" s="13">
        <f>0.466+0.25*J58+0.32</f>
        <v>1.242</v>
      </c>
      <c r="P58" s="9">
        <f t="shared" si="11"/>
        <v>0.5</v>
      </c>
      <c r="Q58" s="9">
        <f t="shared" si="12"/>
        <v>0.9</v>
      </c>
      <c r="R58" s="13">
        <v>2.38</v>
      </c>
      <c r="S58" s="7" t="s">
        <v>93</v>
      </c>
      <c r="T58" s="10">
        <f>2726*R58*(1+O58)*(1+N58)*P58*Q58*1.5*(1+(2.78*I58)/(I58+1400))</f>
        <v>35316.253594138667</v>
      </c>
    </row>
    <row r="59" spans="1:20" x14ac:dyDescent="0.25">
      <c r="J59" s="15"/>
    </row>
    <row r="60" spans="1:20" x14ac:dyDescent="0.25">
      <c r="A60" s="7" t="s">
        <v>9</v>
      </c>
      <c r="B60" s="7" t="s">
        <v>10</v>
      </c>
      <c r="C60" s="7" t="s">
        <v>11</v>
      </c>
      <c r="D60" s="7" t="s">
        <v>12</v>
      </c>
      <c r="E60" s="8" t="s">
        <v>13</v>
      </c>
      <c r="F60" s="9" t="s">
        <v>14</v>
      </c>
      <c r="G60" s="9" t="s">
        <v>15</v>
      </c>
      <c r="H60" s="10" t="s">
        <v>16</v>
      </c>
      <c r="I60" s="11" t="s">
        <v>18</v>
      </c>
      <c r="J60" s="12" t="s">
        <v>39</v>
      </c>
      <c r="K60" s="13" t="s">
        <v>19</v>
      </c>
      <c r="L60" s="13" t="s">
        <v>20</v>
      </c>
      <c r="M60" s="14" t="s">
        <v>21</v>
      </c>
      <c r="N60" s="14" t="s">
        <v>22</v>
      </c>
      <c r="O60" s="13" t="s">
        <v>23</v>
      </c>
      <c r="P60" s="9" t="s">
        <v>24</v>
      </c>
      <c r="Q60" s="9" t="s">
        <v>25</v>
      </c>
      <c r="R60" s="13" t="s">
        <v>26</v>
      </c>
      <c r="S60" s="7" t="s">
        <v>27</v>
      </c>
      <c r="T60" s="10" t="s">
        <v>28</v>
      </c>
    </row>
    <row r="61" spans="1:20" x14ac:dyDescent="0.25">
      <c r="A61" s="7" t="s">
        <v>96</v>
      </c>
      <c r="B61" s="7" t="s">
        <v>97</v>
      </c>
      <c r="C61" s="7" t="s">
        <v>83</v>
      </c>
      <c r="D61" s="7" t="s">
        <v>91</v>
      </c>
      <c r="E61" s="8" t="s">
        <v>92</v>
      </c>
      <c r="F61" s="9">
        <v>191</v>
      </c>
      <c r="G61" s="9">
        <v>674</v>
      </c>
      <c r="H61" s="10">
        <f>(F61+G61)*(1+0.3+0.2)+311</f>
        <v>1608.5</v>
      </c>
      <c r="I61" s="11">
        <f>80</f>
        <v>80</v>
      </c>
      <c r="J61" s="15">
        <f>1+0.518+0.267+0.2</f>
        <v>1.9850000000000001</v>
      </c>
      <c r="K61" s="13">
        <v>0</v>
      </c>
      <c r="L61" s="13">
        <f>0</f>
        <v>0</v>
      </c>
      <c r="M61" s="14">
        <f>60.25%+K61/2+L61/4</f>
        <v>0.60250000000000004</v>
      </c>
      <c r="N61" s="14">
        <f>60.25%*2+K61+L61/2</f>
        <v>1.2050000000000001</v>
      </c>
      <c r="O61" s="13">
        <f>0.466+0.2</f>
        <v>0.66600000000000004</v>
      </c>
      <c r="P61" s="9">
        <f>0.5</f>
        <v>0.5</v>
      </c>
      <c r="Q61" s="9">
        <f>0.9</f>
        <v>0.9</v>
      </c>
      <c r="R61" s="13">
        <v>4.9470000000000001</v>
      </c>
      <c r="S61" s="7" t="s">
        <v>66</v>
      </c>
      <c r="T61" s="10">
        <f>(H61+1.39*(F61+G61))*R61*(1+O61)*(1+N61)*P61*Q61*1.5*(1+(2.78*I61)/(I61+1400))</f>
        <v>39661.290350547235</v>
      </c>
    </row>
    <row r="62" spans="1:20" x14ac:dyDescent="0.25">
      <c r="A62" s="7" t="s">
        <v>96</v>
      </c>
      <c r="B62" s="7" t="s">
        <v>98</v>
      </c>
      <c r="C62" s="7" t="s">
        <v>83</v>
      </c>
      <c r="D62" s="7" t="s">
        <v>91</v>
      </c>
      <c r="E62" s="8" t="s">
        <v>92</v>
      </c>
      <c r="F62" s="9">
        <v>191</v>
      </c>
      <c r="G62" s="9">
        <v>608</v>
      </c>
      <c r="H62" s="10">
        <f>(F62+G62)*(1+0.3)+311</f>
        <v>1349.7</v>
      </c>
      <c r="I62" s="11">
        <f>80</f>
        <v>80</v>
      </c>
      <c r="J62" s="15">
        <f>1+0.518+0.267+0.2+0.551</f>
        <v>2.536</v>
      </c>
      <c r="K62" s="13">
        <v>0.04</v>
      </c>
      <c r="L62" s="13">
        <f>0</f>
        <v>0</v>
      </c>
      <c r="M62" s="14">
        <f>60.25%+K62/2+L62/4</f>
        <v>0.62250000000000005</v>
      </c>
      <c r="N62" s="14">
        <f>60.25%*2+K62+L62/2</f>
        <v>1.2450000000000001</v>
      </c>
      <c r="O62" s="13">
        <f>0.466+0.2</f>
        <v>0.66600000000000004</v>
      </c>
      <c r="P62" s="9">
        <f>0.5</f>
        <v>0.5</v>
      </c>
      <c r="Q62" s="9">
        <f>0.9</f>
        <v>0.9</v>
      </c>
      <c r="R62" s="13">
        <v>4.9470000000000001</v>
      </c>
      <c r="S62" s="7" t="s">
        <v>66</v>
      </c>
      <c r="T62" s="10">
        <f>(H62+1.39*(F62+G62))*R62*(1+O62)*(1+N62)*P62*Q62*1.5*(1+(2.78*I62)/(I62+1400))</f>
        <v>35344.899624093778</v>
      </c>
    </row>
    <row r="64" spans="1:20" x14ac:dyDescent="0.25">
      <c r="A64" s="7" t="s">
        <v>9</v>
      </c>
      <c r="B64" s="7" t="s">
        <v>10</v>
      </c>
      <c r="C64" s="7" t="s">
        <v>11</v>
      </c>
      <c r="D64" s="7" t="s">
        <v>12</v>
      </c>
      <c r="E64" s="8" t="s">
        <v>13</v>
      </c>
      <c r="F64" s="9" t="s">
        <v>14</v>
      </c>
      <c r="G64" s="9" t="s">
        <v>15</v>
      </c>
      <c r="H64" s="10" t="s">
        <v>16</v>
      </c>
      <c r="I64" s="11" t="s">
        <v>99</v>
      </c>
      <c r="J64" s="12" t="s">
        <v>39</v>
      </c>
      <c r="K64" s="13" t="s">
        <v>19</v>
      </c>
      <c r="L64" s="13" t="s">
        <v>20</v>
      </c>
      <c r="M64" s="14" t="s">
        <v>21</v>
      </c>
      <c r="N64" s="14" t="s">
        <v>22</v>
      </c>
      <c r="O64" s="13" t="s">
        <v>23</v>
      </c>
      <c r="P64" s="9" t="s">
        <v>24</v>
      </c>
      <c r="Q64" s="9" t="s">
        <v>25</v>
      </c>
      <c r="R64" s="13" t="s">
        <v>26</v>
      </c>
      <c r="S64" s="7" t="s">
        <v>27</v>
      </c>
      <c r="T64" s="10" t="s">
        <v>28</v>
      </c>
    </row>
    <row r="65" spans="1:22" x14ac:dyDescent="0.25">
      <c r="A65" s="7" t="s">
        <v>96</v>
      </c>
      <c r="B65" s="7" t="s">
        <v>97</v>
      </c>
      <c r="C65" s="12" t="s">
        <v>83</v>
      </c>
      <c r="D65" s="7" t="s">
        <v>100</v>
      </c>
      <c r="E65" s="8" t="s">
        <v>92</v>
      </c>
      <c r="F65" s="9">
        <v>191</v>
      </c>
      <c r="G65" s="9">
        <v>674</v>
      </c>
      <c r="H65" s="10">
        <f>(F65+G65)*(1+0.2+0.2)+311</f>
        <v>1522</v>
      </c>
      <c r="I65" s="11">
        <f>12397*(1+0.466+0.3)+4780</f>
        <v>26673.101999999999</v>
      </c>
      <c r="J65" s="15">
        <f>1+0.518+0.267+0.2</f>
        <v>1.9850000000000001</v>
      </c>
      <c r="K65" s="13">
        <v>0</v>
      </c>
      <c r="L65" s="13">
        <f>0</f>
        <v>0</v>
      </c>
      <c r="M65" s="14" t="s">
        <v>45</v>
      </c>
      <c r="N65" s="14" t="s">
        <v>45</v>
      </c>
      <c r="O65" s="13" t="s">
        <v>46</v>
      </c>
      <c r="P65" s="9">
        <f t="shared" ref="P65:P78" si="14">0.5</f>
        <v>0.5</v>
      </c>
      <c r="Q65" s="9">
        <f>0.9</f>
        <v>0.9</v>
      </c>
      <c r="R65" s="13" t="s">
        <v>46</v>
      </c>
      <c r="S65" s="7" t="s">
        <v>101</v>
      </c>
      <c r="T65" s="10">
        <f>(1588+12.75%*I65)*(1+0.358)</f>
        <v>6774.8182457900002</v>
      </c>
    </row>
    <row r="66" spans="1:22" x14ac:dyDescent="0.25">
      <c r="A66" s="7" t="s">
        <v>96</v>
      </c>
      <c r="B66" s="7" t="s">
        <v>98</v>
      </c>
      <c r="C66" s="12" t="s">
        <v>83</v>
      </c>
      <c r="D66" s="7" t="s">
        <v>100</v>
      </c>
      <c r="E66" s="8" t="s">
        <v>92</v>
      </c>
      <c r="F66" s="9">
        <v>191</v>
      </c>
      <c r="G66" s="9">
        <v>608</v>
      </c>
      <c r="H66" s="10">
        <f>(F66+G66)*(1+0.2)+311</f>
        <v>1269.8</v>
      </c>
      <c r="I66" s="11">
        <f>12397*(1+0.466+0.3)+4780</f>
        <v>26673.101999999999</v>
      </c>
      <c r="J66" s="15">
        <f>1+0.518+0.267+0.2+0.551</f>
        <v>2.536</v>
      </c>
      <c r="K66" s="13">
        <v>0.04</v>
      </c>
      <c r="L66" s="13">
        <f>0</f>
        <v>0</v>
      </c>
      <c r="M66" s="14" t="s">
        <v>45</v>
      </c>
      <c r="N66" s="14" t="s">
        <v>45</v>
      </c>
      <c r="O66" s="13" t="s">
        <v>46</v>
      </c>
      <c r="P66" s="9">
        <f t="shared" si="14"/>
        <v>0.5</v>
      </c>
      <c r="Q66" s="9">
        <f>0.9</f>
        <v>0.9</v>
      </c>
      <c r="R66" s="13" t="s">
        <v>46</v>
      </c>
      <c r="S66" s="7" t="s">
        <v>101</v>
      </c>
      <c r="T66" s="10">
        <f>(1588+12.75%*I66)*(1+0.358)</f>
        <v>6774.8182457900002</v>
      </c>
    </row>
    <row r="68" spans="1:22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</row>
    <row r="69" spans="1:22" x14ac:dyDescent="0.25">
      <c r="A69" s="7" t="s">
        <v>9</v>
      </c>
      <c r="B69" s="7" t="s">
        <v>10</v>
      </c>
      <c r="C69" s="7" t="s">
        <v>11</v>
      </c>
      <c r="D69" s="7" t="s">
        <v>12</v>
      </c>
      <c r="E69" s="8" t="s">
        <v>13</v>
      </c>
      <c r="F69" s="9" t="s">
        <v>14</v>
      </c>
      <c r="G69" s="9" t="s">
        <v>15</v>
      </c>
      <c r="H69" s="11" t="s">
        <v>99</v>
      </c>
      <c r="I69" s="11" t="s">
        <v>18</v>
      </c>
      <c r="J69" s="15" t="s">
        <v>39</v>
      </c>
      <c r="K69" s="13" t="s">
        <v>19</v>
      </c>
      <c r="L69" s="13" t="s">
        <v>20</v>
      </c>
      <c r="M69" s="14" t="s">
        <v>21</v>
      </c>
      <c r="N69" s="14" t="s">
        <v>22</v>
      </c>
      <c r="O69" s="13" t="s">
        <v>23</v>
      </c>
      <c r="P69" s="9" t="s">
        <v>24</v>
      </c>
      <c r="Q69" s="9" t="s">
        <v>25</v>
      </c>
      <c r="R69" s="13" t="s">
        <v>26</v>
      </c>
      <c r="S69" s="7" t="s">
        <v>27</v>
      </c>
      <c r="T69" s="10" t="s">
        <v>28</v>
      </c>
      <c r="U69" s="23" t="s">
        <v>102</v>
      </c>
      <c r="V69" s="23" t="s">
        <v>103</v>
      </c>
    </row>
    <row r="70" spans="1:22" x14ac:dyDescent="0.25">
      <c r="A70" s="17" t="s">
        <v>104</v>
      </c>
      <c r="B70" s="17" t="s">
        <v>105</v>
      </c>
      <c r="C70" s="17" t="s">
        <v>106</v>
      </c>
      <c r="D70" s="17" t="s">
        <v>107</v>
      </c>
      <c r="E70" s="18" t="s">
        <v>108</v>
      </c>
      <c r="F70" s="9">
        <f>230</f>
        <v>230</v>
      </c>
      <c r="G70" s="9">
        <v>542</v>
      </c>
      <c r="H70" s="11">
        <f>15185*(1+0.288+0.466*3+0.25+0.2+0.662+0.2)+4780+250*5</f>
        <v>66739.63</v>
      </c>
      <c r="I70" s="11">
        <f>40+80</f>
        <v>120</v>
      </c>
      <c r="J70" s="15">
        <f>1+0.7</f>
        <v>1.7</v>
      </c>
      <c r="K70" s="13">
        <v>0</v>
      </c>
      <c r="L70" s="13">
        <v>0</v>
      </c>
      <c r="M70" s="14" t="s">
        <v>45</v>
      </c>
      <c r="N70" s="14" t="s">
        <v>45</v>
      </c>
      <c r="O70" s="13">
        <f>9%*(V70-30000)/1000</f>
        <v>3.6482292000000003</v>
      </c>
      <c r="P70" s="9">
        <f t="shared" si="14"/>
        <v>0.5</v>
      </c>
      <c r="Q70" s="9">
        <v>0.9</v>
      </c>
      <c r="R70" s="24">
        <f>1447*2</f>
        <v>2894</v>
      </c>
      <c r="S70" s="12" t="s">
        <v>109</v>
      </c>
      <c r="T70" s="10">
        <f>R70*Q70*(1+16*U70/(2000+U70)+9%*(V70-30000)/1000)</f>
        <v>22607.885348192329</v>
      </c>
      <c r="U70" s="25">
        <f>I70+100+80+0.56%*H70</f>
        <v>673.74192800000014</v>
      </c>
      <c r="V70" s="25">
        <f>15185*(1+0.288+0.466*3+0.25+0.2+0.662+0.2+0.25)+4780+250*5</f>
        <v>70535.88</v>
      </c>
    </row>
    <row r="71" spans="1:22" x14ac:dyDescent="0.25">
      <c r="A71" s="17" t="s">
        <v>104</v>
      </c>
      <c r="B71" s="17" t="s">
        <v>105</v>
      </c>
      <c r="C71" s="17" t="s">
        <v>106</v>
      </c>
      <c r="D71" s="17" t="s">
        <v>107</v>
      </c>
      <c r="E71" s="18" t="s">
        <v>108</v>
      </c>
      <c r="F71" s="9">
        <f>230</f>
        <v>230</v>
      </c>
      <c r="G71" s="9">
        <v>542</v>
      </c>
      <c r="H71" s="11">
        <f>15185*(1+0.288+0.466*3+0.25+0.2+0.662+0.2)+4780+250*5</f>
        <v>66739.63</v>
      </c>
      <c r="I71" s="11">
        <f>80+280</f>
        <v>360</v>
      </c>
      <c r="J71" s="15">
        <f>1+0.2</f>
        <v>1.2</v>
      </c>
      <c r="K71" s="13">
        <v>0</v>
      </c>
      <c r="L71" s="13">
        <v>0</v>
      </c>
      <c r="M71" s="14" t="s">
        <v>45</v>
      </c>
      <c r="N71" s="14" t="s">
        <v>45</v>
      </c>
      <c r="O71" s="13">
        <f>9%*(V71-30000)/1000</f>
        <v>3.6482292000000003</v>
      </c>
      <c r="P71" s="9">
        <f t="shared" si="14"/>
        <v>0.5</v>
      </c>
      <c r="Q71" s="9">
        <v>0.9</v>
      </c>
      <c r="R71" s="24">
        <f>1447*2</f>
        <v>2894</v>
      </c>
      <c r="S71" s="12" t="s">
        <v>109</v>
      </c>
      <c r="T71" s="10">
        <f>R71*Q71*(1+16*U71/(2000+U71)+9%*(V71-30000)/1000)</f>
        <v>25175.510885092877</v>
      </c>
      <c r="U71" s="25">
        <f>I71+100+80+0.56%*H71</f>
        <v>913.74192800000014</v>
      </c>
      <c r="V71" s="25">
        <f>15185*(1+0.288+0.466*3+0.25+0.2+0.662+0.2+0.25)+4780+250*5</f>
        <v>70535.88</v>
      </c>
    </row>
    <row r="72" spans="1:22" x14ac:dyDescent="0.25">
      <c r="A72" s="17" t="s">
        <v>104</v>
      </c>
      <c r="B72" s="17" t="s">
        <v>110</v>
      </c>
      <c r="C72" s="17" t="s">
        <v>106</v>
      </c>
      <c r="D72" s="17" t="s">
        <v>107</v>
      </c>
      <c r="E72" s="18" t="s">
        <v>108</v>
      </c>
      <c r="F72" s="9">
        <f>230</f>
        <v>230</v>
      </c>
      <c r="G72" s="9">
        <v>542</v>
      </c>
      <c r="H72" s="11">
        <f>15185*(1+0.288+0.466*3+0.25+0.2+0.2)+4780+250*5</f>
        <v>56687.16</v>
      </c>
      <c r="I72" s="11">
        <f>80+280</f>
        <v>360</v>
      </c>
      <c r="J72" s="15">
        <f>1+0.2</f>
        <v>1.2</v>
      </c>
      <c r="K72" s="13">
        <v>0</v>
      </c>
      <c r="L72" s="13">
        <v>0</v>
      </c>
      <c r="M72" s="14" t="s">
        <v>45</v>
      </c>
      <c r="N72" s="14" t="s">
        <v>45</v>
      </c>
      <c r="O72" s="13">
        <f>9%*(V72-30000)/1000</f>
        <v>2.7435069000000003</v>
      </c>
      <c r="P72" s="9">
        <f t="shared" si="14"/>
        <v>0.5</v>
      </c>
      <c r="Q72" s="9">
        <v>0.9</v>
      </c>
      <c r="R72" s="24">
        <f>1447*2</f>
        <v>2894</v>
      </c>
      <c r="S72" s="12" t="s">
        <v>109</v>
      </c>
      <c r="T72" s="10">
        <f>R72*Q72*(1+16*U72/(2000+U72)+9%*(V72-30000)/1000)</f>
        <v>18610.079804023466</v>
      </c>
      <c r="U72" s="25">
        <f>I72+100+80</f>
        <v>540</v>
      </c>
      <c r="V72" s="25">
        <f>15185*(1+0.288+0.466*3+0.25+0.2+0.25+0.2)+4780+250*5</f>
        <v>60483.41</v>
      </c>
    </row>
    <row r="73" spans="1:22" x14ac:dyDescent="0.25">
      <c r="A73" s="17" t="s">
        <v>104</v>
      </c>
      <c r="B73" s="17" t="s">
        <v>111</v>
      </c>
      <c r="C73" s="17" t="s">
        <v>106</v>
      </c>
      <c r="D73" s="17" t="s">
        <v>107</v>
      </c>
      <c r="E73" s="18" t="s">
        <v>108</v>
      </c>
      <c r="F73" s="9">
        <f>230</f>
        <v>230</v>
      </c>
      <c r="G73" s="9">
        <v>510</v>
      </c>
      <c r="H73" s="11">
        <f>15185*(1+0.288+0.466*3+0.25+0.2)+4780+250*5</f>
        <v>53650.16</v>
      </c>
      <c r="I73" s="11">
        <f>80+280+165</f>
        <v>525</v>
      </c>
      <c r="J73" s="15">
        <f>1+0.2+0.072%*I73</f>
        <v>1.5779999999999998</v>
      </c>
      <c r="K73" s="13">
        <v>0</v>
      </c>
      <c r="L73" s="13">
        <v>0</v>
      </c>
      <c r="M73" s="14" t="s">
        <v>45</v>
      </c>
      <c r="N73" s="14" t="s">
        <v>45</v>
      </c>
      <c r="O73" s="13">
        <f>9%*(V73-30000)/1000</f>
        <v>2.4701769000000002</v>
      </c>
      <c r="P73" s="9">
        <f t="shared" si="14"/>
        <v>0.5</v>
      </c>
      <c r="Q73" s="9">
        <v>0.9</v>
      </c>
      <c r="R73" s="24">
        <f>1447*2</f>
        <v>2894</v>
      </c>
      <c r="S73" s="12" t="s">
        <v>109</v>
      </c>
      <c r="T73" s="10">
        <f>R73*Q73*(1+16*U73/(2000+U73)+9%*(V73-30000)/1000)</f>
        <v>19899.749186272347</v>
      </c>
      <c r="U73" s="25">
        <f>I73+100+80</f>
        <v>705</v>
      </c>
      <c r="V73" s="25">
        <f>15185*(1+0.288+0.466*3+0.25+0.2+0.25)+4780+250*5</f>
        <v>57446.41</v>
      </c>
    </row>
    <row r="74" spans="1:22" x14ac:dyDescent="0.25">
      <c r="A74" s="17"/>
      <c r="B74" s="17"/>
      <c r="C74" s="17"/>
      <c r="D74" s="17"/>
      <c r="E74" s="18"/>
      <c r="J74" s="15"/>
      <c r="S74" s="12"/>
    </row>
    <row r="75" spans="1:22" x14ac:dyDescent="0.25">
      <c r="A75" s="7" t="s">
        <v>9</v>
      </c>
      <c r="B75" s="7" t="s">
        <v>10</v>
      </c>
      <c r="C75" s="7" t="s">
        <v>11</v>
      </c>
      <c r="D75" s="7" t="s">
        <v>12</v>
      </c>
      <c r="E75" s="8" t="s">
        <v>13</v>
      </c>
      <c r="F75" s="9" t="s">
        <v>14</v>
      </c>
      <c r="G75" s="9" t="s">
        <v>15</v>
      </c>
      <c r="H75" s="10" t="s">
        <v>16</v>
      </c>
      <c r="I75" s="11" t="s">
        <v>99</v>
      </c>
      <c r="J75" s="15" t="s">
        <v>39</v>
      </c>
      <c r="K75" s="13" t="s">
        <v>19</v>
      </c>
      <c r="L75" s="13" t="s">
        <v>20</v>
      </c>
      <c r="M75" s="14" t="s">
        <v>21</v>
      </c>
      <c r="N75" s="14" t="s">
        <v>22</v>
      </c>
      <c r="O75" s="13" t="s">
        <v>23</v>
      </c>
      <c r="P75" s="9" t="s">
        <v>24</v>
      </c>
      <c r="Q75" s="9" t="s">
        <v>25</v>
      </c>
      <c r="R75" s="13" t="s">
        <v>26</v>
      </c>
      <c r="S75" s="7" t="s">
        <v>27</v>
      </c>
      <c r="T75" s="10" t="s">
        <v>28</v>
      </c>
    </row>
    <row r="76" spans="1:22" x14ac:dyDescent="0.25">
      <c r="A76" s="17" t="s">
        <v>112</v>
      </c>
      <c r="B76" s="17" t="s">
        <v>41</v>
      </c>
      <c r="C76" s="17" t="s">
        <v>83</v>
      </c>
      <c r="D76" s="17" t="s">
        <v>113</v>
      </c>
      <c r="E76" s="18" t="s">
        <v>114</v>
      </c>
      <c r="F76" s="9">
        <v>212</v>
      </c>
      <c r="G76" s="9">
        <v>565</v>
      </c>
      <c r="H76" s="10">
        <f>(F76+G76)*(1)+311</f>
        <v>1088</v>
      </c>
      <c r="I76" s="11">
        <f>10875*(1+0.3+0.466*2+0.24)+4780</f>
        <v>31663.000000000004</v>
      </c>
      <c r="J76" s="15">
        <f>1+0.6+0.306</f>
        <v>1.9060000000000001</v>
      </c>
      <c r="K76" s="13">
        <v>0</v>
      </c>
      <c r="L76" s="13">
        <v>0</v>
      </c>
      <c r="M76" s="14">
        <v>0.5</v>
      </c>
      <c r="N76" s="14">
        <v>0.6</v>
      </c>
      <c r="O76" s="13">
        <v>0.2</v>
      </c>
      <c r="P76" s="9">
        <f t="shared" si="14"/>
        <v>0.5</v>
      </c>
      <c r="Q76" s="9">
        <v>0.9</v>
      </c>
      <c r="R76" s="13">
        <v>0.12560000000000002</v>
      </c>
      <c r="S76" s="12" t="s">
        <v>115</v>
      </c>
      <c r="T76" s="10">
        <f>(I76*R76)*(1+O76)*(1+N76)*P76*Q76</f>
        <v>3436.018099200001</v>
      </c>
    </row>
    <row r="77" spans="1:22" x14ac:dyDescent="0.25">
      <c r="A77" s="17" t="s">
        <v>112</v>
      </c>
      <c r="B77" s="17" t="s">
        <v>116</v>
      </c>
      <c r="C77" s="17" t="s">
        <v>83</v>
      </c>
      <c r="D77" s="17" t="s">
        <v>107</v>
      </c>
      <c r="E77" s="18" t="s">
        <v>114</v>
      </c>
      <c r="F77" s="9">
        <v>212</v>
      </c>
      <c r="G77" s="9">
        <v>565</v>
      </c>
      <c r="H77" s="10">
        <f>(F77+G77)*(1)+311</f>
        <v>1088</v>
      </c>
      <c r="I77" s="11">
        <f>10875*(1+0.25+0.466*3+0.24)+4780</f>
        <v>36187</v>
      </c>
      <c r="J77" s="15">
        <f>1+0.7</f>
        <v>1.7</v>
      </c>
      <c r="K77" s="13">
        <v>0</v>
      </c>
      <c r="L77" s="13">
        <v>0</v>
      </c>
      <c r="M77" s="14" t="s">
        <v>45</v>
      </c>
      <c r="N77" s="14" t="s">
        <v>45</v>
      </c>
      <c r="O77" s="13">
        <v>0.2</v>
      </c>
      <c r="P77" s="9">
        <f t="shared" si="14"/>
        <v>0.5</v>
      </c>
      <c r="Q77" s="9">
        <v>0.9</v>
      </c>
      <c r="R77" s="13">
        <v>0.12560000000000002</v>
      </c>
      <c r="S77" s="12" t="s">
        <v>115</v>
      </c>
      <c r="T77" s="10">
        <f>(I77*R77)*(1+O77)*(1+0.5)*P77*Q77</f>
        <v>3681.5206320000002</v>
      </c>
    </row>
    <row r="78" spans="1:22" x14ac:dyDescent="0.25">
      <c r="A78" s="17" t="s">
        <v>112</v>
      </c>
      <c r="B78" s="17" t="s">
        <v>48</v>
      </c>
      <c r="C78" s="17" t="s">
        <v>83</v>
      </c>
      <c r="D78" s="17" t="s">
        <v>49</v>
      </c>
      <c r="E78" s="18" t="s">
        <v>114</v>
      </c>
      <c r="F78" s="9">
        <v>212</v>
      </c>
      <c r="G78" s="9">
        <v>354</v>
      </c>
      <c r="H78" s="10">
        <f>(F78+G78)*(1)+311</f>
        <v>877</v>
      </c>
      <c r="I78" s="11">
        <f>10875*(1+0.3+0.466*2+0.469+0.24)+4780</f>
        <v>36763.375</v>
      </c>
      <c r="J78" s="15">
        <f>1+0.55+0.518</f>
        <v>2.0680000000000001</v>
      </c>
      <c r="K78" s="13">
        <v>0</v>
      </c>
      <c r="L78" s="13">
        <v>0</v>
      </c>
      <c r="M78" s="14" t="s">
        <v>45</v>
      </c>
      <c r="N78" s="14" t="s">
        <v>45</v>
      </c>
      <c r="O78" s="13">
        <v>0.2</v>
      </c>
      <c r="P78" s="9">
        <f t="shared" si="14"/>
        <v>0.5</v>
      </c>
      <c r="Q78" s="9">
        <v>0.9</v>
      </c>
      <c r="R78" s="13">
        <v>0.12560000000000002</v>
      </c>
      <c r="S78" s="12" t="s">
        <v>115</v>
      </c>
      <c r="T78" s="10">
        <f>(I78*R78)*(1+O78)*(1+0.5)*P78*Q78</f>
        <v>3740.1587190000005</v>
      </c>
    </row>
    <row r="79" spans="1:2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1:22" x14ac:dyDescent="0.25">
      <c r="A80" s="7" t="s">
        <v>9</v>
      </c>
      <c r="B80" s="7" t="s">
        <v>10</v>
      </c>
      <c r="C80" s="7" t="s">
        <v>11</v>
      </c>
      <c r="D80" s="7" t="s">
        <v>12</v>
      </c>
      <c r="E80" s="8" t="s">
        <v>13</v>
      </c>
      <c r="F80" s="9" t="s">
        <v>14</v>
      </c>
      <c r="G80" s="9" t="s">
        <v>15</v>
      </c>
      <c r="H80" s="10" t="s">
        <v>16</v>
      </c>
      <c r="I80" s="11" t="s">
        <v>117</v>
      </c>
      <c r="J80" s="15" t="s">
        <v>39</v>
      </c>
      <c r="K80" s="13" t="s">
        <v>19</v>
      </c>
      <c r="L80" s="13" t="s">
        <v>20</v>
      </c>
      <c r="M80" s="14" t="s">
        <v>21</v>
      </c>
      <c r="N80" s="14" t="s">
        <v>22</v>
      </c>
      <c r="O80" s="13" t="s">
        <v>23</v>
      </c>
      <c r="P80" s="9" t="s">
        <v>24</v>
      </c>
      <c r="Q80" s="9" t="s">
        <v>25</v>
      </c>
      <c r="R80" s="13" t="s">
        <v>26</v>
      </c>
      <c r="S80" s="7" t="s">
        <v>27</v>
      </c>
      <c r="T80" s="10" t="s">
        <v>28</v>
      </c>
      <c r="U80" s="26"/>
    </row>
    <row r="81" spans="1:22" x14ac:dyDescent="0.25">
      <c r="A81" s="17" t="s">
        <v>118</v>
      </c>
      <c r="B81" s="17" t="s">
        <v>119</v>
      </c>
      <c r="C81" s="17" t="s">
        <v>120</v>
      </c>
      <c r="D81" s="17" t="s">
        <v>121</v>
      </c>
      <c r="E81" s="18" t="s">
        <v>122</v>
      </c>
      <c r="F81" s="9">
        <v>244</v>
      </c>
      <c r="G81" s="9">
        <v>542</v>
      </c>
      <c r="H81" s="10">
        <f>(F81+G81)*(1+0.2)+311</f>
        <v>1254.1999999999998</v>
      </c>
      <c r="I81" s="11">
        <f>14450*(1+0.3+0.16+0.18)+4780</f>
        <v>28478</v>
      </c>
      <c r="J81" s="15">
        <f>1+0.2+0.2+0.518</f>
        <v>1.9179999999999999</v>
      </c>
      <c r="K81" s="13">
        <v>0.192</v>
      </c>
      <c r="L81" s="13">
        <v>0.88200000000000001</v>
      </c>
      <c r="M81" s="14">
        <f>60.25%+K81/2+L81/4-11.9%</f>
        <v>0.8</v>
      </c>
      <c r="N81" s="14">
        <f>60.25%*2+K81+L81/2+11.9%*2</f>
        <v>2.0760000000000001</v>
      </c>
      <c r="O81" s="13">
        <f>0.466+0.25*J81+0.2</f>
        <v>1.1455</v>
      </c>
      <c r="P81" s="9">
        <f>0.5</f>
        <v>0.5</v>
      </c>
      <c r="Q81" s="9">
        <v>0.9</v>
      </c>
      <c r="R81" s="13">
        <v>8.77E-2</v>
      </c>
      <c r="S81" s="12" t="s">
        <v>123</v>
      </c>
      <c r="T81" s="10">
        <f>(I81*R81)*(1+O81)*(1+N81)*P81*Q81</f>
        <v>7417.1394251526608</v>
      </c>
      <c r="U81" s="27"/>
    </row>
    <row r="82" spans="1:22" x14ac:dyDescent="0.25">
      <c r="A82" s="17" t="s">
        <v>118</v>
      </c>
      <c r="B82" s="17" t="s">
        <v>119</v>
      </c>
      <c r="C82" s="17" t="s">
        <v>120</v>
      </c>
      <c r="D82" s="17" t="s">
        <v>124</v>
      </c>
      <c r="E82" s="18" t="s">
        <v>122</v>
      </c>
      <c r="F82" s="9">
        <v>244</v>
      </c>
      <c r="G82" s="9">
        <v>542</v>
      </c>
      <c r="H82" s="10">
        <f>(F82+G82)*(1+0.2)+311</f>
        <v>1254.1999999999998</v>
      </c>
      <c r="I82" s="11">
        <f>14450*(1+0.3+0.16+0.18+0.466)+4780</f>
        <v>35211.699999999997</v>
      </c>
      <c r="J82" s="15">
        <f>1+0.2+0.2</f>
        <v>1.4</v>
      </c>
      <c r="K82" s="13">
        <v>0.192</v>
      </c>
      <c r="L82" s="13">
        <v>0.88200000000000001</v>
      </c>
      <c r="M82" s="14">
        <f>60.25%+K82/2+L82/4-11.9%</f>
        <v>0.8</v>
      </c>
      <c r="N82" s="14">
        <f>60.25%*2+K82+L82/2+11.9%*2</f>
        <v>2.0760000000000001</v>
      </c>
      <c r="O82" s="13">
        <f>0.466+0.25*J82+0.2</f>
        <v>1.016</v>
      </c>
      <c r="P82" s="9">
        <f>0.5</f>
        <v>0.5</v>
      </c>
      <c r="Q82" s="9">
        <v>0.9</v>
      </c>
      <c r="R82" s="13">
        <v>8.77E-2</v>
      </c>
      <c r="S82" s="12" t="s">
        <v>123</v>
      </c>
      <c r="T82" s="10">
        <f>(I82*R82)*(1+O82)*(1+N82)*P82*Q82</f>
        <v>8617.3941808644468</v>
      </c>
      <c r="U82" s="27"/>
    </row>
    <row r="83" spans="1:22" x14ac:dyDescent="0.25">
      <c r="A83" s="17" t="s">
        <v>118</v>
      </c>
      <c r="B83" s="17" t="s">
        <v>82</v>
      </c>
      <c r="C83" s="17" t="s">
        <v>120</v>
      </c>
      <c r="D83" s="17" t="s">
        <v>124</v>
      </c>
      <c r="E83" s="18" t="s">
        <v>122</v>
      </c>
      <c r="F83" s="9">
        <v>244</v>
      </c>
      <c r="G83" s="9">
        <v>608</v>
      </c>
      <c r="H83" s="10">
        <f>(F83+G83)*(1+0.2)+311</f>
        <v>1333.4</v>
      </c>
      <c r="I83" s="11">
        <f>14450*(1+0.3+0.466+0.18)+4780</f>
        <v>32899.699999999997</v>
      </c>
      <c r="J83" s="15">
        <f>1+0.2+0.2+0.551</f>
        <v>1.9510000000000001</v>
      </c>
      <c r="K83" s="13">
        <v>0.192</v>
      </c>
      <c r="L83" s="13">
        <v>0</v>
      </c>
      <c r="M83" s="14">
        <f>60.25%+K83/2+L83/4</f>
        <v>0.69850000000000001</v>
      </c>
      <c r="N83" s="14">
        <f>60.25%*2+K83+L83/2</f>
        <v>1.397</v>
      </c>
      <c r="O83" s="13">
        <f>0.466+0.25*J83</f>
        <v>0.9537500000000001</v>
      </c>
      <c r="P83" s="9">
        <f>0.5</f>
        <v>0.5</v>
      </c>
      <c r="Q83" s="9">
        <v>0.9</v>
      </c>
      <c r="R83" s="13">
        <v>8.77E-2</v>
      </c>
      <c r="S83" s="12" t="s">
        <v>123</v>
      </c>
      <c r="T83" s="10">
        <f>(I83*R83)*(1+O83)*(1+N83)*P83*Q83</f>
        <v>6080.5248822706444</v>
      </c>
      <c r="U83" s="27"/>
    </row>
    <row r="84" spans="1:22" x14ac:dyDescent="0.25">
      <c r="A84" s="17" t="s">
        <v>118</v>
      </c>
      <c r="B84" s="17" t="s">
        <v>125</v>
      </c>
      <c r="C84" s="17" t="s">
        <v>120</v>
      </c>
      <c r="D84" s="17" t="s">
        <v>124</v>
      </c>
      <c r="E84" s="18" t="s">
        <v>122</v>
      </c>
      <c r="F84" s="9">
        <v>244</v>
      </c>
      <c r="G84" s="9">
        <v>454</v>
      </c>
      <c r="H84" s="10">
        <f>(F84+G84)*(1+0.2)+311</f>
        <v>1148.5999999999999</v>
      </c>
      <c r="I84" s="11">
        <f>14450*(1+0.3+0.466+0.18)+4780</f>
        <v>32899.699999999997</v>
      </c>
      <c r="J84" s="15">
        <f>1+0.2+0.2+0.613</f>
        <v>2.0129999999999999</v>
      </c>
      <c r="K84" s="13">
        <v>0.192</v>
      </c>
      <c r="L84" s="13">
        <v>0</v>
      </c>
      <c r="M84" s="14">
        <f>60.25%+K84/2+L84/4</f>
        <v>0.69850000000000001</v>
      </c>
      <c r="N84" s="14">
        <f>60.25%*2+K84+L84/2</f>
        <v>1.397</v>
      </c>
      <c r="O84" s="13">
        <f>0.466+0.25*J84</f>
        <v>0.96924999999999994</v>
      </c>
      <c r="P84" s="9">
        <f>0.5</f>
        <v>0.5</v>
      </c>
      <c r="Q84" s="9">
        <v>0.9</v>
      </c>
      <c r="R84" s="13">
        <v>8.77E-2</v>
      </c>
      <c r="S84" s="12" t="s">
        <v>123</v>
      </c>
      <c r="T84" s="10">
        <f>(I84*R84)*(1+O84)*(1+N84)*P84*Q84</f>
        <v>6128.7644910615318</v>
      </c>
      <c r="U84" s="27"/>
    </row>
    <row r="85" spans="1:2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</row>
    <row r="86" spans="1:22" s="5" customFormat="1" x14ac:dyDescent="0.25">
      <c r="A86" s="7" t="s">
        <v>9</v>
      </c>
      <c r="B86" s="7" t="s">
        <v>10</v>
      </c>
      <c r="C86" s="7" t="s">
        <v>11</v>
      </c>
      <c r="D86" s="7" t="s">
        <v>12</v>
      </c>
      <c r="E86" s="8" t="s">
        <v>13</v>
      </c>
      <c r="F86" s="9" t="s">
        <v>14</v>
      </c>
      <c r="G86" s="9" t="s">
        <v>15</v>
      </c>
      <c r="H86" s="10" t="s">
        <v>16</v>
      </c>
      <c r="I86" s="11" t="s">
        <v>99</v>
      </c>
      <c r="J86" s="15"/>
      <c r="K86" s="13" t="s">
        <v>19</v>
      </c>
      <c r="L86" s="13" t="s">
        <v>20</v>
      </c>
      <c r="M86" s="14" t="s">
        <v>21</v>
      </c>
      <c r="N86" s="14" t="s">
        <v>22</v>
      </c>
      <c r="O86" s="13" t="s">
        <v>23</v>
      </c>
      <c r="P86" s="9" t="s">
        <v>24</v>
      </c>
      <c r="Q86" s="9" t="s">
        <v>25</v>
      </c>
      <c r="R86" s="13" t="s">
        <v>26</v>
      </c>
      <c r="S86" s="7" t="s">
        <v>27</v>
      </c>
      <c r="T86" s="10" t="s">
        <v>28</v>
      </c>
      <c r="U86" s="26" t="s">
        <v>126</v>
      </c>
    </row>
    <row r="87" spans="1:22" s="5" customFormat="1" x14ac:dyDescent="0.25">
      <c r="A87" s="17" t="s">
        <v>127</v>
      </c>
      <c r="B87" s="17" t="s">
        <v>128</v>
      </c>
      <c r="C87" s="17" t="s">
        <v>129</v>
      </c>
      <c r="D87" s="17" t="s">
        <v>130</v>
      </c>
      <c r="E87" s="18" t="s">
        <v>131</v>
      </c>
      <c r="F87" s="9">
        <v>299</v>
      </c>
      <c r="G87" s="9">
        <v>608</v>
      </c>
      <c r="H87" s="10">
        <f>(F87+G87)*(1+0.3+0.466+0.18)+311</f>
        <v>2076.0219999999999</v>
      </c>
      <c r="I87" s="11">
        <f>13715*(1+0.2)+4780</f>
        <v>21238</v>
      </c>
      <c r="J87" s="15"/>
      <c r="K87" s="13">
        <v>0.33100000000000002</v>
      </c>
      <c r="L87" s="13">
        <v>0.38400000000000001</v>
      </c>
      <c r="M87" s="14">
        <f>60.25%+K87/2+L87/4-6.4%</f>
        <v>0.8</v>
      </c>
      <c r="N87" s="14">
        <f>60.25%*2+K87+L87/2+6.4%*2</f>
        <v>1.8559999999999999</v>
      </c>
      <c r="O87" s="13">
        <f>0.466+0.52</f>
        <v>0.98599999999999999</v>
      </c>
      <c r="P87" s="9">
        <f>0.5</f>
        <v>0.5</v>
      </c>
      <c r="Q87" s="9">
        <v>0.9</v>
      </c>
      <c r="R87" s="13">
        <v>1.0455000000000001</v>
      </c>
      <c r="S87" s="12" t="s">
        <v>132</v>
      </c>
      <c r="T87" s="10">
        <f>(H87*(R87+0.7)+2*1.11%*I87)*(1+O87)*(1+N87)*P87*Q87</f>
        <v>10452.566919848408</v>
      </c>
      <c r="U87" s="27">
        <f>(H87*(R87)+2*1.11%*I87)*(1+O87)*(1+N87)*P87*Q87</f>
        <v>6743.3694697375277</v>
      </c>
      <c r="V87" s="26"/>
    </row>
    <row r="88" spans="1:22" s="5" customFormat="1" x14ac:dyDescent="0.25">
      <c r="A88" s="17" t="s">
        <v>127</v>
      </c>
      <c r="B88" s="17" t="s">
        <v>110</v>
      </c>
      <c r="C88" s="17" t="s">
        <v>133</v>
      </c>
      <c r="D88" s="17" t="s">
        <v>130</v>
      </c>
      <c r="E88" s="18" t="s">
        <v>131</v>
      </c>
      <c r="F88" s="9">
        <v>299</v>
      </c>
      <c r="G88" s="9">
        <v>542</v>
      </c>
      <c r="H88" s="10">
        <f>(F88+G88)*(1+0.3+0.466)+311+1.2%*I88</f>
        <v>2083.9780000000001</v>
      </c>
      <c r="I88" s="11">
        <f>13715*(1+0.2+0.2)+4780</f>
        <v>23981</v>
      </c>
      <c r="J88" s="15"/>
      <c r="K88" s="13">
        <v>0.441</v>
      </c>
      <c r="L88" s="13">
        <v>0.38400000000000001</v>
      </c>
      <c r="M88" s="14">
        <f>60.25%+K88/2+L88/4-11.9%</f>
        <v>0.8</v>
      </c>
      <c r="N88" s="14">
        <f>60.25%*2+K88+L88/2+11.9%*2</f>
        <v>2.0760000000000001</v>
      </c>
      <c r="O88" s="13">
        <f>0.466+0.15+0.3</f>
        <v>0.91599999999999993</v>
      </c>
      <c r="P88" s="9">
        <f>0.5</f>
        <v>0.5</v>
      </c>
      <c r="Q88" s="9">
        <v>0.9</v>
      </c>
      <c r="R88" s="13">
        <v>1.0455000000000001</v>
      </c>
      <c r="S88" s="12" t="s">
        <v>134</v>
      </c>
      <c r="T88" s="10">
        <f>(H88*(R88)+2*1.11%*I88)*(1+O88)*(1+N88)*P88*Q88</f>
        <v>7190.3867934877135</v>
      </c>
      <c r="U88" s="27">
        <f>(H88*(R88)+2*1.11%*I88)*(1+O88)*(1+N88)*P88*Q88</f>
        <v>7190.3867934877135</v>
      </c>
    </row>
    <row r="89" spans="1:22" s="5" customFormat="1" x14ac:dyDescent="0.25">
      <c r="A89" s="17" t="s">
        <v>127</v>
      </c>
      <c r="B89" s="17" t="s">
        <v>135</v>
      </c>
      <c r="C89" s="17" t="s">
        <v>129</v>
      </c>
      <c r="D89" s="17" t="s">
        <v>130</v>
      </c>
      <c r="E89" s="18" t="s">
        <v>131</v>
      </c>
      <c r="F89" s="9">
        <v>299</v>
      </c>
      <c r="G89" s="9">
        <v>510</v>
      </c>
      <c r="H89" s="10">
        <f>(F89+G89)*(1+0.3+0.466+0.18)+311</f>
        <v>1885.3139999999999</v>
      </c>
      <c r="I89" s="11">
        <f>13715*(1+0.2)+4780</f>
        <v>21238</v>
      </c>
      <c r="J89" s="15"/>
      <c r="K89" s="13">
        <v>0.27600000000000002</v>
      </c>
      <c r="L89" s="13">
        <v>0.38400000000000001</v>
      </c>
      <c r="M89" s="14">
        <f>60.25%+K89/2+L89/4-3.65%</f>
        <v>0.8</v>
      </c>
      <c r="N89" s="14">
        <f>60.25%*2+K89+L89/2+3.65%*2</f>
        <v>1.746</v>
      </c>
      <c r="O89" s="13">
        <f>0.466+0.4</f>
        <v>0.8660000000000001</v>
      </c>
      <c r="P89" s="9">
        <f>0.5</f>
        <v>0.5</v>
      </c>
      <c r="Q89" s="9">
        <v>0.9</v>
      </c>
      <c r="R89" s="13">
        <v>1.0455000000000001</v>
      </c>
      <c r="S89" s="12" t="s">
        <v>132</v>
      </c>
      <c r="T89" s="10">
        <f>(H89*(R89+0.7)+2*1.11%*I89)*(1+O89)*(1+N89)*P89*Q89</f>
        <v>8675.1704146314314</v>
      </c>
      <c r="U89" s="27">
        <f>(H89*(R89)+2*1.11%*I89)*(1+O89)*(1+N89)*P89*Q89</f>
        <v>5632.1391203306694</v>
      </c>
      <c r="V89" s="26"/>
    </row>
    <row r="90" spans="1:22" s="5" customForma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2" x14ac:dyDescent="0.25">
      <c r="A91" s="7" t="s">
        <v>9</v>
      </c>
      <c r="B91" s="7" t="s">
        <v>10</v>
      </c>
      <c r="C91" s="7" t="s">
        <v>11</v>
      </c>
      <c r="D91" s="7" t="s">
        <v>12</v>
      </c>
      <c r="E91" s="8" t="s">
        <v>13</v>
      </c>
      <c r="F91" s="9" t="s">
        <v>14</v>
      </c>
      <c r="G91" s="9" t="s">
        <v>15</v>
      </c>
      <c r="H91" s="10" t="s">
        <v>16</v>
      </c>
      <c r="I91" s="11" t="s">
        <v>99</v>
      </c>
      <c r="J91" s="15" t="s">
        <v>136</v>
      </c>
      <c r="K91" s="13" t="s">
        <v>19</v>
      </c>
      <c r="L91" s="13" t="s">
        <v>20</v>
      </c>
      <c r="M91" s="14" t="s">
        <v>21</v>
      </c>
      <c r="N91" s="14" t="s">
        <v>22</v>
      </c>
      <c r="O91" s="13" t="s">
        <v>23</v>
      </c>
      <c r="P91" s="9" t="s">
        <v>24</v>
      </c>
      <c r="Q91" s="9" t="s">
        <v>25</v>
      </c>
      <c r="R91" s="13" t="s">
        <v>26</v>
      </c>
      <c r="S91" s="7" t="s">
        <v>27</v>
      </c>
      <c r="T91" s="10" t="s">
        <v>28</v>
      </c>
    </row>
    <row r="92" spans="1:22" x14ac:dyDescent="0.25">
      <c r="A92" s="7" t="s">
        <v>137</v>
      </c>
      <c r="B92" s="7" t="s">
        <v>138</v>
      </c>
      <c r="C92" s="7" t="s">
        <v>139</v>
      </c>
      <c r="D92" s="7" t="s">
        <v>140</v>
      </c>
      <c r="E92" s="8" t="s">
        <v>141</v>
      </c>
      <c r="F92" s="9">
        <v>234</v>
      </c>
      <c r="G92" s="9">
        <v>608</v>
      </c>
      <c r="H92" s="10">
        <f>(F92+G92)*(1+0.2)+311</f>
        <v>1321.4</v>
      </c>
      <c r="I92" s="11">
        <f>13471*(1+14*5%+0.466+0.496)+4780</f>
        <v>40639.802000000003</v>
      </c>
      <c r="J92" s="15">
        <f>0.25+0.15+0.1+0.358</f>
        <v>0.85799999999999998</v>
      </c>
      <c r="K92" s="13">
        <v>0</v>
      </c>
      <c r="L92" s="13">
        <f>0</f>
        <v>0</v>
      </c>
      <c r="M92" s="14">
        <v>0</v>
      </c>
      <c r="N92" s="14">
        <v>0</v>
      </c>
      <c r="O92" s="13">
        <f>0.466+0.288</f>
        <v>0.754</v>
      </c>
      <c r="P92" s="9">
        <f>0.5</f>
        <v>0.5</v>
      </c>
      <c r="Q92" s="9">
        <f>0.9</f>
        <v>0.9</v>
      </c>
      <c r="R92" s="13">
        <v>0.95730000000000004</v>
      </c>
      <c r="S92" s="7" t="s">
        <v>142</v>
      </c>
      <c r="T92" s="10">
        <f>(H92*R92+I92*(8.71%+1%+15%*J92))*(1+O92)*(1+N92)*P92*Q92</f>
        <v>8241.4313637058804</v>
      </c>
    </row>
    <row r="93" spans="1:22" x14ac:dyDescent="0.25">
      <c r="A93" s="7" t="s">
        <v>137</v>
      </c>
      <c r="B93" s="7" t="s">
        <v>143</v>
      </c>
      <c r="C93" s="7" t="s">
        <v>139</v>
      </c>
      <c r="D93" s="7" t="s">
        <v>140</v>
      </c>
      <c r="E93" s="8" t="s">
        <v>141</v>
      </c>
      <c r="F93" s="9">
        <v>234</v>
      </c>
      <c r="G93" s="9">
        <v>510</v>
      </c>
      <c r="H93" s="10">
        <f>(F93+G93)*(1+0.2)+311</f>
        <v>1203.8</v>
      </c>
      <c r="I93" s="11">
        <f>13471*(1+14*5%+0.466+0.413)+4780</f>
        <v>39521.709000000003</v>
      </c>
      <c r="J93" s="15">
        <f>0.25+0.15+0.358</f>
        <v>0.75800000000000001</v>
      </c>
      <c r="K93" s="13">
        <v>0</v>
      </c>
      <c r="L93" s="13">
        <f>0</f>
        <v>0</v>
      </c>
      <c r="M93" s="14">
        <v>0</v>
      </c>
      <c r="N93" s="14">
        <v>0</v>
      </c>
      <c r="O93" s="13">
        <f>0.466+0.288</f>
        <v>0.754</v>
      </c>
      <c r="P93" s="9">
        <f>0.5</f>
        <v>0.5</v>
      </c>
      <c r="Q93" s="9">
        <f>0.9</f>
        <v>0.9</v>
      </c>
      <c r="R93" s="13">
        <v>0.95730000000000004</v>
      </c>
      <c r="S93" s="7" t="s">
        <v>142</v>
      </c>
      <c r="T93" s="10">
        <f>(H93*R93+I93*(8.71%+15%*J93))*(1+O93)*(1+N93)*P93*Q93</f>
        <v>7173.4401068529614</v>
      </c>
    </row>
    <row r="94" spans="1:22" x14ac:dyDescent="0.25">
      <c r="A94" s="7" t="s">
        <v>137</v>
      </c>
      <c r="B94" s="7" t="s">
        <v>144</v>
      </c>
      <c r="C94" s="7" t="s">
        <v>77</v>
      </c>
      <c r="D94" s="7" t="s">
        <v>145</v>
      </c>
      <c r="E94" s="8" t="s">
        <v>146</v>
      </c>
      <c r="F94" s="9">
        <v>234</v>
      </c>
      <c r="G94" s="9">
        <v>401</v>
      </c>
      <c r="H94" s="10">
        <f>(F94+G94)*(1+0.2)+311</f>
        <v>1073</v>
      </c>
      <c r="I94" s="11">
        <f>13471*(1+14*5%+0.466*2+0.352+0.2)+4780</f>
        <v>47671.664000000004</v>
      </c>
      <c r="J94" s="15">
        <f>0.25+0.358</f>
        <v>0.60799999999999998</v>
      </c>
      <c r="K94" s="13">
        <v>0</v>
      </c>
      <c r="L94" s="13">
        <f>0</f>
        <v>0</v>
      </c>
      <c r="M94" s="14">
        <v>0</v>
      </c>
      <c r="N94" s="14">
        <v>0</v>
      </c>
      <c r="O94" s="13">
        <f>0.288</f>
        <v>0.28799999999999998</v>
      </c>
      <c r="P94" s="9">
        <f>0.5</f>
        <v>0.5</v>
      </c>
      <c r="Q94" s="9">
        <f>0.9</f>
        <v>0.9</v>
      </c>
      <c r="R94" s="13">
        <v>0.95730000000000004</v>
      </c>
      <c r="S94" s="7" t="s">
        <v>147</v>
      </c>
      <c r="T94" s="10">
        <f>(862+7.48%*I94)*(1+J94)</f>
        <v>7119.9674712576016</v>
      </c>
    </row>
    <row r="95" spans="1:22" x14ac:dyDescent="0.25">
      <c r="A95" s="7" t="s">
        <v>137</v>
      </c>
      <c r="B95" s="7" t="s">
        <v>143</v>
      </c>
      <c r="C95" s="7" t="s">
        <v>77</v>
      </c>
      <c r="D95" s="7" t="s">
        <v>145</v>
      </c>
      <c r="E95" s="8" t="s">
        <v>146</v>
      </c>
      <c r="F95" s="9">
        <v>234</v>
      </c>
      <c r="G95" s="9">
        <v>510</v>
      </c>
      <c r="H95" s="10">
        <f>(F95+G95)*(1+0.2)+311</f>
        <v>1203.8</v>
      </c>
      <c r="I95" s="11">
        <f>13471*(1+14*5%+0.466*2+0.413+0.2)+4780</f>
        <v>48493.395000000004</v>
      </c>
      <c r="J95" s="15">
        <f>0.25+0.358</f>
        <v>0.60799999999999998</v>
      </c>
      <c r="K95" s="13">
        <v>0</v>
      </c>
      <c r="L95" s="13">
        <f>0</f>
        <v>0</v>
      </c>
      <c r="M95" s="14">
        <v>0</v>
      </c>
      <c r="N95" s="14">
        <v>0</v>
      </c>
      <c r="O95" s="13">
        <f>0.288</f>
        <v>0.28799999999999998</v>
      </c>
      <c r="P95" s="9">
        <f>0.5</f>
        <v>0.5</v>
      </c>
      <c r="Q95" s="9">
        <f>0.9</f>
        <v>0.9</v>
      </c>
      <c r="R95" s="13">
        <v>0.95730000000000004</v>
      </c>
      <c r="S95" s="7" t="s">
        <v>147</v>
      </c>
      <c r="T95" s="10">
        <f>(862+7.48%*I95)*(1+J95)</f>
        <v>7218.8039611680015</v>
      </c>
    </row>
    <row r="97" spans="1:20" x14ac:dyDescent="0.25">
      <c r="A97" s="7" t="s">
        <v>9</v>
      </c>
      <c r="B97" s="7" t="s">
        <v>10</v>
      </c>
      <c r="C97" s="7" t="s">
        <v>11</v>
      </c>
      <c r="D97" s="7" t="s">
        <v>12</v>
      </c>
      <c r="E97" s="8" t="s">
        <v>13</v>
      </c>
      <c r="F97" s="9" t="s">
        <v>14</v>
      </c>
      <c r="G97" s="9" t="s">
        <v>15</v>
      </c>
      <c r="H97" s="10" t="s">
        <v>16</v>
      </c>
      <c r="I97" s="11" t="s">
        <v>18</v>
      </c>
      <c r="J97" s="15"/>
      <c r="K97" s="13" t="s">
        <v>19</v>
      </c>
      <c r="L97" s="13" t="s">
        <v>20</v>
      </c>
      <c r="M97" s="14" t="s">
        <v>21</v>
      </c>
      <c r="N97" s="14" t="s">
        <v>22</v>
      </c>
      <c r="O97" s="13" t="s">
        <v>23</v>
      </c>
      <c r="P97" s="9" t="s">
        <v>24</v>
      </c>
      <c r="Q97" s="9" t="s">
        <v>25</v>
      </c>
      <c r="R97" s="13" t="s">
        <v>26</v>
      </c>
      <c r="S97" s="7" t="s">
        <v>27</v>
      </c>
      <c r="T97" s="10" t="s">
        <v>28</v>
      </c>
    </row>
    <row r="98" spans="1:20" x14ac:dyDescent="0.25">
      <c r="A98" s="7" t="s">
        <v>148</v>
      </c>
      <c r="B98" s="7" t="s">
        <v>149</v>
      </c>
      <c r="C98" s="12" t="s">
        <v>150</v>
      </c>
      <c r="D98" s="7" t="s">
        <v>130</v>
      </c>
      <c r="E98" s="18" t="s">
        <v>151</v>
      </c>
      <c r="F98" s="9">
        <v>301</v>
      </c>
      <c r="G98" s="9">
        <v>608</v>
      </c>
      <c r="H98" s="10">
        <f>(F98+G98)*(1+0.3+0.466)+311</f>
        <v>1916.2940000000001</v>
      </c>
      <c r="I98" s="11">
        <f>80+80</f>
        <v>160</v>
      </c>
      <c r="J98" s="15"/>
      <c r="K98" s="13">
        <v>0.33100000000000002</v>
      </c>
      <c r="L98" s="13">
        <f t="shared" ref="L98:L104" si="15">0</f>
        <v>0</v>
      </c>
      <c r="M98" s="14">
        <f>60.25%+K98/2+L98/4</f>
        <v>0.76800000000000002</v>
      </c>
      <c r="N98" s="14">
        <f>60.25%*2+K98+L98/2</f>
        <v>1.536</v>
      </c>
      <c r="O98" s="13">
        <f>0.466+0.288+0.15+0.12</f>
        <v>1.024</v>
      </c>
      <c r="P98" s="9">
        <f>0.5</f>
        <v>0.5</v>
      </c>
      <c r="Q98" s="9">
        <f>0.9</f>
        <v>0.9</v>
      </c>
      <c r="R98" s="13">
        <v>8.3520000000000003</v>
      </c>
      <c r="S98" s="7" t="s">
        <v>152</v>
      </c>
      <c r="T98" s="10">
        <f>((F98+G98)*(1+0.2+0.466+0.18+0.48)+311)*R98*(1+O98)*(1+N98)*P98*Q98*2*(1+(2.78*I98)/(I98+1400))</f>
        <v>120257.11002258841</v>
      </c>
    </row>
    <row r="99" spans="1:20" x14ac:dyDescent="0.25">
      <c r="A99" s="7" t="s">
        <v>148</v>
      </c>
      <c r="B99" s="7" t="s">
        <v>149</v>
      </c>
      <c r="C99" s="7" t="s">
        <v>153</v>
      </c>
      <c r="D99" s="7" t="s">
        <v>130</v>
      </c>
      <c r="E99" s="18" t="s">
        <v>151</v>
      </c>
      <c r="F99" s="9">
        <v>301</v>
      </c>
      <c r="G99" s="9">
        <v>608</v>
      </c>
      <c r="H99" s="10">
        <f>(F99+G99)*(1+0.3+0.466+0.18)+311</f>
        <v>2079.9139999999998</v>
      </c>
      <c r="I99" s="11">
        <f>80</f>
        <v>80</v>
      </c>
      <c r="J99" s="15"/>
      <c r="K99" s="13">
        <v>0.33100000000000002</v>
      </c>
      <c r="L99" s="13">
        <f t="shared" si="15"/>
        <v>0</v>
      </c>
      <c r="M99" s="14">
        <f>60.25%+K99/2+L99/4</f>
        <v>0.76800000000000002</v>
      </c>
      <c r="N99" s="14">
        <f>60.25%*2+K99+L99/2</f>
        <v>1.536</v>
      </c>
      <c r="O99" s="13">
        <f>0.466+0.288+0.15+0.12</f>
        <v>1.024</v>
      </c>
      <c r="P99" s="9">
        <f>0.5</f>
        <v>0.5</v>
      </c>
      <c r="Q99" s="9">
        <f>0.9</f>
        <v>0.9</v>
      </c>
      <c r="R99" s="13">
        <v>8.3520000000000003</v>
      </c>
      <c r="S99" s="7" t="s">
        <v>152</v>
      </c>
      <c r="T99" s="10">
        <f>((F99+G99)*(1+0.2+0.466+0.18+0.48)+311)*R99*(1+O99)*(1+N99)*P99*Q99*2*(1+(2.78*I99)/(I99+1400))</f>
        <v>107637.6488319348</v>
      </c>
    </row>
    <row r="100" spans="1:20" x14ac:dyDescent="0.25">
      <c r="A100" s="7" t="s">
        <v>148</v>
      </c>
      <c r="B100" s="7" t="s">
        <v>154</v>
      </c>
      <c r="C100" s="7" t="s">
        <v>153</v>
      </c>
      <c r="D100" s="7" t="s">
        <v>130</v>
      </c>
      <c r="E100" s="18" t="s">
        <v>151</v>
      </c>
      <c r="F100" s="9">
        <v>301</v>
      </c>
      <c r="G100" s="9">
        <v>674</v>
      </c>
      <c r="H100" s="10">
        <f>(F100+G100)*(1+0.3+0.466+0.18)+311</f>
        <v>2208.35</v>
      </c>
      <c r="I100" s="11">
        <f>80</f>
        <v>80</v>
      </c>
      <c r="J100" s="15"/>
      <c r="K100" s="13">
        <v>0.221</v>
      </c>
      <c r="L100" s="13">
        <v>0.2</v>
      </c>
      <c r="M100" s="14">
        <f>60.25%+K100/2+L100/4</f>
        <v>0.76300000000000012</v>
      </c>
      <c r="N100" s="14">
        <f>60.25%*2+K100+L100/2</f>
        <v>1.5260000000000002</v>
      </c>
      <c r="O100" s="13">
        <f>0.466+0.288+0.15</f>
        <v>0.90400000000000003</v>
      </c>
      <c r="P100" s="9">
        <f>0.5</f>
        <v>0.5</v>
      </c>
      <c r="Q100" s="9">
        <f>0.9</f>
        <v>0.9</v>
      </c>
      <c r="R100" s="13">
        <v>8.3520000000000003</v>
      </c>
      <c r="S100" s="7" t="s">
        <v>152</v>
      </c>
      <c r="T100" s="10">
        <f>H100*R100*(1+O100)*(1+N100)*P100*Q100*2*(1+(2.78*I100)/(I100+1400))</f>
        <v>91833.489320623834</v>
      </c>
    </row>
    <row r="101" spans="1:20" x14ac:dyDescent="0.25">
      <c r="A101" s="7" t="s">
        <v>148</v>
      </c>
      <c r="B101" s="12" t="s">
        <v>155</v>
      </c>
      <c r="C101" s="7" t="s">
        <v>153</v>
      </c>
      <c r="D101" s="7" t="s">
        <v>130</v>
      </c>
      <c r="E101" s="18" t="s">
        <v>151</v>
      </c>
      <c r="F101" s="9">
        <v>301</v>
      </c>
      <c r="G101" s="9">
        <v>510</v>
      </c>
      <c r="H101" s="10">
        <f>(F101+G101)*(1+0.3+0.466+0.18)+311</f>
        <v>1889.2059999999999</v>
      </c>
      <c r="I101" s="11">
        <f>80</f>
        <v>80</v>
      </c>
      <c r="J101" s="15"/>
      <c r="K101" s="13">
        <v>0.27600000000000002</v>
      </c>
      <c r="L101" s="13">
        <f t="shared" si="15"/>
        <v>0</v>
      </c>
      <c r="M101" s="14">
        <f>60.25%+K101/2+L101/4</f>
        <v>0.74050000000000005</v>
      </c>
      <c r="N101" s="14">
        <f>60.25%*2+K101+L101/2</f>
        <v>1.4810000000000001</v>
      </c>
      <c r="O101" s="13">
        <f>0.466+0.288+0.15</f>
        <v>0.90400000000000003</v>
      </c>
      <c r="P101" s="9">
        <f>0.5</f>
        <v>0.5</v>
      </c>
      <c r="Q101" s="9">
        <f>0.9</f>
        <v>0.9</v>
      </c>
      <c r="R101" s="13">
        <v>8.3520000000000003</v>
      </c>
      <c r="S101" s="7" t="s">
        <v>152</v>
      </c>
      <c r="T101" s="10">
        <f>H101*R101*(1+O101)*(1+N101)*P101*Q101*2*(1+(2.78*I101)/(I101+1400))</f>
        <v>77162.433348042556</v>
      </c>
    </row>
    <row r="103" spans="1:20" x14ac:dyDescent="0.25">
      <c r="A103" s="7" t="s">
        <v>9</v>
      </c>
      <c r="B103" s="7" t="s">
        <v>10</v>
      </c>
      <c r="C103" s="7" t="s">
        <v>11</v>
      </c>
      <c r="D103" s="7" t="s">
        <v>12</v>
      </c>
      <c r="E103" s="8" t="s">
        <v>13</v>
      </c>
      <c r="F103" s="9" t="s">
        <v>14</v>
      </c>
      <c r="G103" s="9" t="s">
        <v>15</v>
      </c>
      <c r="H103" s="10" t="s">
        <v>16</v>
      </c>
      <c r="I103" s="11" t="s">
        <v>99</v>
      </c>
      <c r="J103" s="15" t="s">
        <v>39</v>
      </c>
      <c r="K103" s="13" t="s">
        <v>19</v>
      </c>
      <c r="L103" s="13" t="s">
        <v>20</v>
      </c>
      <c r="M103" s="14" t="s">
        <v>21</v>
      </c>
      <c r="N103" s="14" t="s">
        <v>22</v>
      </c>
      <c r="O103" s="13" t="s">
        <v>23</v>
      </c>
      <c r="P103" s="9" t="s">
        <v>24</v>
      </c>
      <c r="Q103" s="9" t="s">
        <v>25</v>
      </c>
      <c r="R103" s="13" t="s">
        <v>26</v>
      </c>
      <c r="S103" s="7" t="s">
        <v>27</v>
      </c>
      <c r="T103" s="10" t="s">
        <v>28</v>
      </c>
    </row>
    <row r="104" spans="1:20" x14ac:dyDescent="0.25">
      <c r="A104" s="7" t="s">
        <v>156</v>
      </c>
      <c r="B104" s="7" t="s">
        <v>157</v>
      </c>
      <c r="C104" s="7" t="s">
        <v>158</v>
      </c>
      <c r="D104" s="7" t="s">
        <v>130</v>
      </c>
      <c r="E104" s="8" t="s">
        <v>159</v>
      </c>
      <c r="F104" s="9">
        <v>202</v>
      </c>
      <c r="G104" s="9">
        <v>454</v>
      </c>
      <c r="H104" s="10">
        <f>(F104+G104)*(1+0.3+0.466+0.24)+311</f>
        <v>1626.9360000000001</v>
      </c>
      <c r="I104" s="11">
        <f>10222*(1+0.2)+4780</f>
        <v>17046.400000000001</v>
      </c>
      <c r="J104" s="15">
        <f>1+0.2+0.613</f>
        <v>1.8129999999999999</v>
      </c>
      <c r="K104" s="13">
        <v>0</v>
      </c>
      <c r="L104" s="13">
        <f t="shared" si="15"/>
        <v>0</v>
      </c>
      <c r="M104" s="14">
        <f t="shared" ref="M104:M110" si="16">60.25%+K104/2+L104/4</f>
        <v>0.60250000000000004</v>
      </c>
      <c r="N104" s="14">
        <f t="shared" ref="N104:N110" si="17">60.25%*2+K104+L104/2</f>
        <v>1.2050000000000001</v>
      </c>
      <c r="O104" s="13">
        <f>0.466+0.15+0.2+0.2</f>
        <v>1.016</v>
      </c>
      <c r="P104" s="9">
        <f t="shared" ref="P104:P110" si="18">0.5</f>
        <v>0.5</v>
      </c>
      <c r="Q104" s="9">
        <v>1.0249999999999999</v>
      </c>
      <c r="R104" s="13">
        <v>1.1533</v>
      </c>
      <c r="S104" s="7" t="s">
        <v>160</v>
      </c>
      <c r="T104" s="10">
        <f t="shared" ref="T104:T110" si="19">H104*R104*(1+O104)*(1+N104)*P104*Q104</f>
        <v>4274.7010950158929</v>
      </c>
    </row>
    <row r="105" spans="1:20" x14ac:dyDescent="0.25">
      <c r="A105" s="7" t="s">
        <v>156</v>
      </c>
      <c r="B105" s="7" t="s">
        <v>110</v>
      </c>
      <c r="C105" s="7" t="s">
        <v>90</v>
      </c>
      <c r="D105" s="7" t="s">
        <v>121</v>
      </c>
      <c r="E105" s="8" t="s">
        <v>159</v>
      </c>
      <c r="F105" s="9">
        <v>202</v>
      </c>
      <c r="G105" s="9">
        <v>542</v>
      </c>
      <c r="H105" s="10">
        <f>(F105+G105)*(1+0.3+0.24)+311+1.2%*I105</f>
        <v>1685.8496</v>
      </c>
      <c r="I105" s="11">
        <f>10222*(1+0.2+0.2)+4780</f>
        <v>19090.8</v>
      </c>
      <c r="J105" s="15">
        <f>1+0.2+0.518+0.2</f>
        <v>1.9179999999999999</v>
      </c>
      <c r="K105" s="13">
        <v>0.441</v>
      </c>
      <c r="L105" s="13">
        <v>0</v>
      </c>
      <c r="M105" s="14">
        <v>0.8</v>
      </c>
      <c r="N105" s="14">
        <f>60.25%*2+K105+L105/2+2.3%*2</f>
        <v>1.6920000000000002</v>
      </c>
      <c r="O105" s="13">
        <f>0.466+0.25*J105+0.2</f>
        <v>1.1455</v>
      </c>
      <c r="P105" s="9">
        <f t="shared" si="18"/>
        <v>0.5</v>
      </c>
      <c r="Q105" s="9">
        <v>1.0249999999999999</v>
      </c>
      <c r="R105" s="13">
        <v>1.1533</v>
      </c>
      <c r="S105" s="7" t="s">
        <v>160</v>
      </c>
      <c r="T105" s="10">
        <f t="shared" si="19"/>
        <v>5755.1753904379802</v>
      </c>
    </row>
    <row r="106" spans="1:20" x14ac:dyDescent="0.25">
      <c r="J106" s="15"/>
    </row>
    <row r="107" spans="1:20" x14ac:dyDescent="0.25">
      <c r="A107" s="7" t="s">
        <v>9</v>
      </c>
      <c r="B107" s="7" t="s">
        <v>10</v>
      </c>
      <c r="C107" s="7" t="s">
        <v>11</v>
      </c>
      <c r="D107" s="7" t="s">
        <v>12</v>
      </c>
      <c r="E107" s="8" t="s">
        <v>13</v>
      </c>
      <c r="F107" s="9" t="s">
        <v>14</v>
      </c>
      <c r="G107" s="9" t="s">
        <v>15</v>
      </c>
      <c r="H107" s="10" t="s">
        <v>16</v>
      </c>
      <c r="I107" s="11" t="s">
        <v>39</v>
      </c>
      <c r="J107" s="15" t="s">
        <v>18</v>
      </c>
      <c r="K107" s="13" t="s">
        <v>19</v>
      </c>
      <c r="L107" s="13" t="s">
        <v>20</v>
      </c>
      <c r="M107" s="14" t="s">
        <v>21</v>
      </c>
      <c r="N107" s="14" t="s">
        <v>22</v>
      </c>
      <c r="O107" s="13" t="s">
        <v>23</v>
      </c>
      <c r="P107" s="9" t="s">
        <v>24</v>
      </c>
      <c r="Q107" s="9" t="s">
        <v>25</v>
      </c>
      <c r="R107" s="13" t="s">
        <v>26</v>
      </c>
      <c r="S107" s="7" t="s">
        <v>27</v>
      </c>
      <c r="T107" s="10" t="s">
        <v>28</v>
      </c>
    </row>
    <row r="108" spans="1:20" x14ac:dyDescent="0.25">
      <c r="A108" s="7" t="s">
        <v>161</v>
      </c>
      <c r="B108" s="7" t="s">
        <v>61</v>
      </c>
      <c r="C108" s="7" t="s">
        <v>90</v>
      </c>
      <c r="D108" s="7" t="s">
        <v>130</v>
      </c>
      <c r="E108" s="8" t="s">
        <v>141</v>
      </c>
      <c r="F108" s="9">
        <v>287</v>
      </c>
      <c r="G108" s="9">
        <v>510</v>
      </c>
      <c r="H108" s="10">
        <f>(F108+G108)*(1+0.3+0.466)+311</f>
        <v>1718.502</v>
      </c>
      <c r="I108" s="15">
        <f>1+0.3+0.32+0.2</f>
        <v>1.82</v>
      </c>
      <c r="J108" s="20">
        <v>80</v>
      </c>
      <c r="K108" s="13">
        <v>0</v>
      </c>
      <c r="L108" s="13">
        <v>0.55100000000000005</v>
      </c>
      <c r="M108" s="14">
        <f t="shared" si="16"/>
        <v>0.74025000000000007</v>
      </c>
      <c r="N108" s="14">
        <f t="shared" si="17"/>
        <v>1.4805000000000001</v>
      </c>
      <c r="O108" s="13">
        <f>0.466+0.6+0.45*I108+0.96</f>
        <v>2.8450000000000002</v>
      </c>
      <c r="P108" s="9">
        <f t="shared" si="18"/>
        <v>0.5</v>
      </c>
      <c r="Q108" s="9">
        <v>0.9</v>
      </c>
      <c r="R108" s="13">
        <v>7.9632000000000005</v>
      </c>
      <c r="S108" s="7" t="s">
        <v>162</v>
      </c>
      <c r="T108" s="10">
        <f>H108*R108*(1+O108)*(1+N108)*P108*Q108*2*(1+(2.78*J108)/(J108+1400))</f>
        <v>135118.75827766486</v>
      </c>
    </row>
    <row r="109" spans="1:20" x14ac:dyDescent="0.25">
      <c r="A109" s="7" t="s">
        <v>161</v>
      </c>
      <c r="B109" s="7" t="s">
        <v>144</v>
      </c>
      <c r="C109" s="7" t="s">
        <v>83</v>
      </c>
      <c r="D109" s="7" t="s">
        <v>121</v>
      </c>
      <c r="E109" s="8" t="s">
        <v>141</v>
      </c>
      <c r="F109" s="9">
        <v>287</v>
      </c>
      <c r="G109" s="9">
        <v>401</v>
      </c>
      <c r="H109" s="10">
        <f>(F109+G109)*(1+0.3)+311</f>
        <v>1205.4000000000001</v>
      </c>
      <c r="I109" s="15">
        <f>1+0.518+0.3+0.32</f>
        <v>2.1379999999999999</v>
      </c>
      <c r="J109" s="15"/>
      <c r="K109" s="13">
        <v>0</v>
      </c>
      <c r="L109" s="13">
        <v>0</v>
      </c>
      <c r="M109" s="14">
        <f t="shared" si="16"/>
        <v>0.60250000000000004</v>
      </c>
      <c r="N109" s="14">
        <f t="shared" si="17"/>
        <v>1.2050000000000001</v>
      </c>
      <c r="O109" s="13">
        <f>0.466+0.2+0.6+0.2*I109</f>
        <v>1.6936</v>
      </c>
      <c r="P109" s="9">
        <f t="shared" si="18"/>
        <v>0.5</v>
      </c>
      <c r="Q109" s="9">
        <v>0.9</v>
      </c>
      <c r="R109" s="13">
        <v>7.9632000000000005</v>
      </c>
      <c r="S109" s="7" t="s">
        <v>163</v>
      </c>
      <c r="T109" s="10">
        <f t="shared" si="19"/>
        <v>25655.059220551491</v>
      </c>
    </row>
    <row r="110" spans="1:20" x14ac:dyDescent="0.25">
      <c r="A110" s="7" t="s">
        <v>161</v>
      </c>
      <c r="B110" s="7" t="s">
        <v>143</v>
      </c>
      <c r="C110" s="7" t="s">
        <v>83</v>
      </c>
      <c r="D110" s="7" t="s">
        <v>121</v>
      </c>
      <c r="E110" s="8" t="s">
        <v>141</v>
      </c>
      <c r="F110" s="9">
        <v>287</v>
      </c>
      <c r="G110" s="9">
        <v>510</v>
      </c>
      <c r="H110" s="10">
        <f>(F110+G110)*(1+0.3)+311</f>
        <v>1347.1000000000001</v>
      </c>
      <c r="I110" s="15">
        <f>1+0.518+0.3+0.32</f>
        <v>2.1379999999999999</v>
      </c>
      <c r="J110" s="15"/>
      <c r="K110" s="13">
        <v>0</v>
      </c>
      <c r="L110" s="13">
        <v>0</v>
      </c>
      <c r="M110" s="14">
        <f t="shared" si="16"/>
        <v>0.60250000000000004</v>
      </c>
      <c r="N110" s="14">
        <f t="shared" si="17"/>
        <v>1.2050000000000001</v>
      </c>
      <c r="O110" s="13">
        <f>0.466+0.2+0.6+0.2*I110</f>
        <v>1.6936</v>
      </c>
      <c r="P110" s="9">
        <f t="shared" si="18"/>
        <v>0.5</v>
      </c>
      <c r="Q110" s="9">
        <v>0.9</v>
      </c>
      <c r="R110" s="13">
        <v>7.9632000000000005</v>
      </c>
      <c r="S110" s="7" t="s">
        <v>163</v>
      </c>
      <c r="T110" s="10">
        <f t="shared" si="19"/>
        <v>28670.92274432132</v>
      </c>
    </row>
    <row r="111" spans="1:20" x14ac:dyDescent="0.25">
      <c r="J111" s="15"/>
    </row>
    <row r="112" spans="1:20" x14ac:dyDescent="0.25">
      <c r="A112" s="7" t="s">
        <v>9</v>
      </c>
      <c r="B112" s="7" t="s">
        <v>10</v>
      </c>
      <c r="C112" s="7" t="s">
        <v>11</v>
      </c>
      <c r="D112" s="7" t="s">
        <v>12</v>
      </c>
      <c r="E112" s="8" t="s">
        <v>13</v>
      </c>
      <c r="F112" s="9" t="s">
        <v>14</v>
      </c>
      <c r="G112" s="9" t="s">
        <v>15</v>
      </c>
      <c r="H112" s="10" t="s">
        <v>16</v>
      </c>
      <c r="I112" s="11" t="s">
        <v>99</v>
      </c>
      <c r="J112" s="15" t="s">
        <v>136</v>
      </c>
      <c r="K112" s="13" t="s">
        <v>19</v>
      </c>
      <c r="L112" s="13" t="s">
        <v>20</v>
      </c>
      <c r="M112" s="14" t="s">
        <v>21</v>
      </c>
      <c r="N112" s="14" t="s">
        <v>22</v>
      </c>
      <c r="O112" s="13" t="s">
        <v>23</v>
      </c>
      <c r="P112" s="9" t="s">
        <v>24</v>
      </c>
      <c r="Q112" s="9" t="s">
        <v>25</v>
      </c>
      <c r="R112" s="13" t="s">
        <v>26</v>
      </c>
      <c r="S112" s="7" t="s">
        <v>27</v>
      </c>
      <c r="T112" s="10" t="s">
        <v>28</v>
      </c>
    </row>
    <row r="113" spans="1:21" x14ac:dyDescent="0.25">
      <c r="A113" s="7" t="s">
        <v>164</v>
      </c>
      <c r="B113" s="7" t="s">
        <v>138</v>
      </c>
      <c r="C113" s="7" t="s">
        <v>165</v>
      </c>
      <c r="D113" s="7" t="s">
        <v>145</v>
      </c>
      <c r="E113" s="8" t="s">
        <v>166</v>
      </c>
      <c r="F113" s="9">
        <v>159</v>
      </c>
      <c r="G113" s="9">
        <v>608</v>
      </c>
      <c r="H113" s="10">
        <f>(F113+G113)*(1+0.2)+311</f>
        <v>1231.4000000000001</v>
      </c>
      <c r="I113" s="11">
        <f>9787*(1+0.466*2+5%*11+0.24+0.496)+4780</f>
        <v>36274.566000000006</v>
      </c>
      <c r="J113" s="15">
        <f>0.15+0.358+0.1</f>
        <v>0.60799999999999998</v>
      </c>
      <c r="K113" s="13">
        <v>0</v>
      </c>
      <c r="L113" s="13">
        <v>0</v>
      </c>
      <c r="M113" s="14" t="s">
        <v>45</v>
      </c>
      <c r="N113" s="14" t="s">
        <v>45</v>
      </c>
      <c r="O113" s="13">
        <v>0</v>
      </c>
      <c r="P113" s="9">
        <f>0.5</f>
        <v>0.5</v>
      </c>
      <c r="Q113" s="9">
        <v>0.9</v>
      </c>
      <c r="R113" s="13">
        <v>0</v>
      </c>
      <c r="S113" s="7" t="s">
        <v>167</v>
      </c>
      <c r="T113" s="10">
        <f>(4335+35.2%*I113)*(1+0.2+J113)</f>
        <v>30923.394195456003</v>
      </c>
    </row>
    <row r="114" spans="1:21" x14ac:dyDescent="0.25">
      <c r="A114" s="7" t="s">
        <v>164</v>
      </c>
      <c r="B114" s="7" t="s">
        <v>144</v>
      </c>
      <c r="C114" s="7" t="s">
        <v>165</v>
      </c>
      <c r="D114" s="7" t="s">
        <v>145</v>
      </c>
      <c r="E114" s="8" t="s">
        <v>166</v>
      </c>
      <c r="F114" s="9">
        <v>159</v>
      </c>
      <c r="G114" s="9">
        <v>401</v>
      </c>
      <c r="H114" s="10">
        <f>(F114+G114)*(1+0.2)+311</f>
        <v>983</v>
      </c>
      <c r="I114" s="11">
        <f>9787*(1+0.466*2+5%*11+0.24+0.352)+4780</f>
        <v>34865.237999999998</v>
      </c>
      <c r="J114" s="15">
        <f>0.15+0.358</f>
        <v>0.50800000000000001</v>
      </c>
      <c r="K114" s="13">
        <v>0</v>
      </c>
      <c r="L114" s="13">
        <v>0</v>
      </c>
      <c r="M114" s="14" t="s">
        <v>45</v>
      </c>
      <c r="N114" s="14" t="s">
        <v>45</v>
      </c>
      <c r="O114" s="13">
        <v>0</v>
      </c>
      <c r="P114" s="9">
        <f t="shared" ref="P114:P121" si="20">0.5</f>
        <v>0.5</v>
      </c>
      <c r="Q114" s="9">
        <v>0.9</v>
      </c>
      <c r="R114" s="13">
        <v>0</v>
      </c>
      <c r="S114" s="7" t="s">
        <v>167</v>
      </c>
      <c r="T114" s="10">
        <f>(4335+35.2%*I114)*(1+0.2+J114)</f>
        <v>28365.718929408005</v>
      </c>
    </row>
    <row r="115" spans="1:21" x14ac:dyDescent="0.25">
      <c r="A115" s="7" t="s">
        <v>164</v>
      </c>
      <c r="B115" s="7" t="s">
        <v>143</v>
      </c>
      <c r="C115" s="7" t="s">
        <v>165</v>
      </c>
      <c r="D115" s="7" t="s">
        <v>145</v>
      </c>
      <c r="E115" s="8" t="s">
        <v>166</v>
      </c>
      <c r="F115" s="9">
        <v>159</v>
      </c>
      <c r="G115" s="9">
        <v>510</v>
      </c>
      <c r="H115" s="10">
        <f>(F115+G115)*(1+0.2)+311</f>
        <v>1113.8</v>
      </c>
      <c r="I115" s="11">
        <f>9787*(1+0.466*2+5%*11+0.24+0.413)+4780</f>
        <v>35462.245000000003</v>
      </c>
      <c r="J115" s="15">
        <f>0.15+0.358</f>
        <v>0.50800000000000001</v>
      </c>
      <c r="K115" s="13">
        <v>0</v>
      </c>
      <c r="L115" s="13">
        <v>0</v>
      </c>
      <c r="M115" s="14" t="s">
        <v>45</v>
      </c>
      <c r="N115" s="14" t="s">
        <v>45</v>
      </c>
      <c r="O115" s="13">
        <v>0</v>
      </c>
      <c r="P115" s="9">
        <f t="shared" si="20"/>
        <v>0.5</v>
      </c>
      <c r="Q115" s="9">
        <v>0.9</v>
      </c>
      <c r="R115" s="13">
        <v>0</v>
      </c>
      <c r="S115" s="7" t="s">
        <v>167</v>
      </c>
      <c r="T115" s="10">
        <f>(4335+35.2%*I115)*(1+0.2+J115)</f>
        <v>28724.64908992</v>
      </c>
    </row>
    <row r="116" spans="1:21" x14ac:dyDescent="0.25">
      <c r="I116" s="21"/>
      <c r="J116" s="15"/>
    </row>
    <row r="117" spans="1:21" x14ac:dyDescent="0.2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1" x14ac:dyDescent="0.25">
      <c r="A118" s="7" t="s">
        <v>9</v>
      </c>
      <c r="B118" s="7" t="s">
        <v>10</v>
      </c>
      <c r="C118" s="7" t="s">
        <v>11</v>
      </c>
      <c r="D118" s="7" t="s">
        <v>12</v>
      </c>
      <c r="E118" s="8" t="s">
        <v>13</v>
      </c>
      <c r="F118" s="9" t="s">
        <v>14</v>
      </c>
      <c r="G118" s="9" t="s">
        <v>15</v>
      </c>
      <c r="H118" s="10" t="s">
        <v>16</v>
      </c>
      <c r="K118" s="13" t="s">
        <v>19</v>
      </c>
      <c r="L118" s="13" t="s">
        <v>20</v>
      </c>
      <c r="M118" s="14" t="s">
        <v>21</v>
      </c>
      <c r="N118" s="14" t="s">
        <v>22</v>
      </c>
      <c r="O118" s="13" t="s">
        <v>23</v>
      </c>
      <c r="P118" s="9" t="s">
        <v>24</v>
      </c>
      <c r="Q118" s="9" t="s">
        <v>25</v>
      </c>
      <c r="R118" s="13" t="s">
        <v>26</v>
      </c>
      <c r="S118" s="7" t="s">
        <v>27</v>
      </c>
      <c r="T118" s="10" t="s">
        <v>28</v>
      </c>
    </row>
    <row r="119" spans="1:21" x14ac:dyDescent="0.25">
      <c r="A119" s="7" t="s">
        <v>168</v>
      </c>
      <c r="B119" s="7" t="s">
        <v>169</v>
      </c>
      <c r="C119" s="12" t="s">
        <v>170</v>
      </c>
      <c r="D119" s="7" t="s">
        <v>171</v>
      </c>
      <c r="E119" s="8" t="s">
        <v>33</v>
      </c>
      <c r="F119" s="9">
        <v>328</v>
      </c>
      <c r="G119" s="9">
        <v>674</v>
      </c>
      <c r="H119" s="10">
        <f>(F119+G119)*(1+0.3+0.466)+311</f>
        <v>2080.5320000000002</v>
      </c>
      <c r="J119" s="22"/>
      <c r="K119" s="13">
        <v>0.192</v>
      </c>
      <c r="L119" s="13">
        <v>0.441</v>
      </c>
      <c r="M119" s="14">
        <f>60.25%+K119/2+L119/4-0.88%</f>
        <v>0.79994999999999994</v>
      </c>
      <c r="N119" s="14">
        <f>60.25%*2+K119+L119/2+0.88%*2</f>
        <v>1.6351</v>
      </c>
      <c r="O119" s="13">
        <f>0.466+0.15+0.48+0.4</f>
        <v>1.496</v>
      </c>
      <c r="P119" s="9">
        <f t="shared" si="20"/>
        <v>0.5</v>
      </c>
      <c r="Q119" s="9">
        <f t="shared" ref="Q119:Q121" si="21">0.9</f>
        <v>0.9</v>
      </c>
      <c r="R119" s="13">
        <f>135.83%*1.5115</f>
        <v>2.0530704500000003</v>
      </c>
      <c r="S119" s="12" t="s">
        <v>172</v>
      </c>
      <c r="T119" s="10">
        <f>H119*R119*(1+O119)*(1+N119)*P119*Q119</f>
        <v>12642.485025967248</v>
      </c>
      <c r="U119" t="s">
        <v>173</v>
      </c>
    </row>
    <row r="120" spans="1:21" x14ac:dyDescent="0.25">
      <c r="A120" s="7" t="s">
        <v>168</v>
      </c>
      <c r="B120" s="7" t="s">
        <v>57</v>
      </c>
      <c r="C120" s="12" t="s">
        <v>170</v>
      </c>
      <c r="D120" s="7" t="s">
        <v>171</v>
      </c>
      <c r="E120" s="8" t="s">
        <v>33</v>
      </c>
      <c r="F120" s="9">
        <v>328</v>
      </c>
      <c r="G120" s="9">
        <v>608</v>
      </c>
      <c r="H120" s="10">
        <f>(F120+G120)*(1+0.3+0.466)+311</f>
        <v>1963.9760000000001</v>
      </c>
      <c r="J120" s="22"/>
      <c r="K120" s="13">
        <f>19.2%+33.1%</f>
        <v>0.52300000000000002</v>
      </c>
      <c r="L120" s="13">
        <v>0</v>
      </c>
      <c r="M120" s="14">
        <f>60.25%+K120/2+L120/4-6.4%</f>
        <v>0.8</v>
      </c>
      <c r="N120" s="14">
        <f>60.25%*2+K120+L120/2+6.4%*2</f>
        <v>1.8560000000000003</v>
      </c>
      <c r="O120" s="13">
        <f>0.466+0.15+0.4+0.32</f>
        <v>1.3360000000000001</v>
      </c>
      <c r="P120" s="9">
        <f t="shared" si="20"/>
        <v>0.5</v>
      </c>
      <c r="Q120" s="9">
        <f t="shared" si="21"/>
        <v>0.9</v>
      </c>
      <c r="R120" s="13">
        <f>135.83%*1.5115</f>
        <v>2.0530704500000003</v>
      </c>
      <c r="S120" s="12" t="s">
        <v>172</v>
      </c>
      <c r="T120" s="10">
        <f>H120*R120*(1+O120)*(1+N120)*P120*Q120</f>
        <v>12105.523744051497</v>
      </c>
      <c r="U120" t="s">
        <v>174</v>
      </c>
    </row>
    <row r="121" spans="1:21" x14ac:dyDescent="0.25">
      <c r="A121" s="7" t="s">
        <v>168</v>
      </c>
      <c r="B121" s="7" t="s">
        <v>61</v>
      </c>
      <c r="C121" s="12" t="s">
        <v>170</v>
      </c>
      <c r="D121" s="7" t="s">
        <v>171</v>
      </c>
      <c r="E121" s="8" t="s">
        <v>33</v>
      </c>
      <c r="F121" s="9">
        <v>328</v>
      </c>
      <c r="G121" s="9">
        <v>454</v>
      </c>
      <c r="H121" s="10">
        <f>(F121+G121)*(1+0.3+0.466)+311</f>
        <v>1692.0119999999999</v>
      </c>
      <c r="J121" s="22">
        <f>(F121+G121)*(1+0.3+0.466+1.2)+311</f>
        <v>2630.4120000000003</v>
      </c>
      <c r="K121" s="13">
        <v>0.192</v>
      </c>
      <c r="L121" s="13">
        <v>0.55100000000000005</v>
      </c>
      <c r="M121" s="14">
        <f>60.25%+K121/2+L121/4-3.63%</f>
        <v>0.79995000000000005</v>
      </c>
      <c r="N121" s="14">
        <f>60.25%*2+K121+L121/2+3.63%*2</f>
        <v>1.7451000000000001</v>
      </c>
      <c r="O121" s="13">
        <f>0.466+0.15+0.4</f>
        <v>1.016</v>
      </c>
      <c r="P121" s="9">
        <f t="shared" si="20"/>
        <v>0.5</v>
      </c>
      <c r="Q121" s="9">
        <f t="shared" si="21"/>
        <v>0.9</v>
      </c>
      <c r="R121" s="13">
        <f>135.83%*1.5115</f>
        <v>2.0530704500000003</v>
      </c>
      <c r="S121" s="12" t="s">
        <v>172</v>
      </c>
      <c r="T121" s="10">
        <f>J121*R121*(1+O121)*(1+N121)*P121*Q121</f>
        <v>13448.964297218055</v>
      </c>
      <c r="U121" t="s">
        <v>175</v>
      </c>
    </row>
    <row r="122" spans="1:21" x14ac:dyDescent="0.25">
      <c r="C122" s="12"/>
      <c r="J122" s="22"/>
    </row>
    <row r="123" spans="1:21" x14ac:dyDescent="0.25">
      <c r="A123" s="7" t="s">
        <v>9</v>
      </c>
      <c r="B123" s="7" t="s">
        <v>10</v>
      </c>
      <c r="C123" s="7" t="s">
        <v>11</v>
      </c>
      <c r="D123" s="7" t="s">
        <v>12</v>
      </c>
      <c r="E123" s="8" t="s">
        <v>13</v>
      </c>
      <c r="F123" s="9" t="s">
        <v>14</v>
      </c>
      <c r="G123" s="9" t="s">
        <v>15</v>
      </c>
      <c r="H123" s="10" t="s">
        <v>16</v>
      </c>
      <c r="I123" s="11" t="s">
        <v>39</v>
      </c>
      <c r="K123" s="13" t="s">
        <v>19</v>
      </c>
      <c r="L123" s="13" t="s">
        <v>20</v>
      </c>
      <c r="M123" s="14" t="s">
        <v>21</v>
      </c>
      <c r="N123" s="14" t="s">
        <v>22</v>
      </c>
      <c r="O123" s="13" t="s">
        <v>23</v>
      </c>
      <c r="P123" s="9" t="s">
        <v>24</v>
      </c>
      <c r="Q123" s="9" t="s">
        <v>25</v>
      </c>
      <c r="R123" s="13" t="s">
        <v>26</v>
      </c>
      <c r="S123" s="7" t="s">
        <v>27</v>
      </c>
      <c r="T123" s="10" t="s">
        <v>28</v>
      </c>
    </row>
    <row r="124" spans="1:21" x14ac:dyDescent="0.25">
      <c r="A124" s="7" t="s">
        <v>176</v>
      </c>
      <c r="B124" s="7" t="s">
        <v>82</v>
      </c>
      <c r="C124" s="12" t="s">
        <v>177</v>
      </c>
      <c r="D124" s="7" t="s">
        <v>178</v>
      </c>
      <c r="E124" s="8" t="s">
        <v>179</v>
      </c>
      <c r="F124" s="9">
        <v>196</v>
      </c>
      <c r="G124" s="9">
        <v>608</v>
      </c>
      <c r="H124" s="10">
        <f>(F124+G124)*(1+0.3+0.24)+311</f>
        <v>1549.16</v>
      </c>
      <c r="I124" s="15">
        <f>1+0.518+0.551+0.2</f>
        <v>2.2690000000000001</v>
      </c>
      <c r="J124" s="22"/>
      <c r="K124" s="13">
        <v>0</v>
      </c>
      <c r="L124" s="13">
        <f>0</f>
        <v>0</v>
      </c>
      <c r="M124" s="14">
        <f>60.25%+K124/2+L124/4</f>
        <v>0.60250000000000004</v>
      </c>
      <c r="N124" s="14">
        <f>60.25%*2+K124+L124/2</f>
        <v>1.2050000000000001</v>
      </c>
      <c r="O124" s="13">
        <f>0.466+0.15+38.25%</f>
        <v>0.99849999999999994</v>
      </c>
      <c r="P124" s="9">
        <f>0.5</f>
        <v>0.5</v>
      </c>
      <c r="Q124" s="9">
        <v>1.1000000000000001</v>
      </c>
      <c r="R124" s="13">
        <v>8.0239999999999991</v>
      </c>
      <c r="S124" s="12" t="s">
        <v>180</v>
      </c>
      <c r="T124" s="10">
        <f>H124*R124*(1+O124)*(1+N124+0.4)*P124*Q124</f>
        <v>35592.768059516362</v>
      </c>
    </row>
    <row r="125" spans="1:21" x14ac:dyDescent="0.25">
      <c r="A125" s="7" t="s">
        <v>176</v>
      </c>
      <c r="B125" s="7" t="s">
        <v>125</v>
      </c>
      <c r="C125" s="12" t="s">
        <v>177</v>
      </c>
      <c r="D125" s="7" t="s">
        <v>178</v>
      </c>
      <c r="E125" s="8" t="s">
        <v>179</v>
      </c>
      <c r="F125" s="9">
        <v>196</v>
      </c>
      <c r="G125" s="9">
        <v>454</v>
      </c>
      <c r="H125" s="10">
        <f>(F125+G125)*(1+0.3+0.24)+311</f>
        <v>1312</v>
      </c>
      <c r="I125" s="15">
        <f>1+0.518+0.613+0.2</f>
        <v>2.3310000000000004</v>
      </c>
      <c r="J125" s="22"/>
      <c r="K125" s="13">
        <v>0</v>
      </c>
      <c r="L125" s="13">
        <v>0</v>
      </c>
      <c r="M125" s="14">
        <f>60.25%+K125/2+L125/4</f>
        <v>0.60250000000000004</v>
      </c>
      <c r="N125" s="14">
        <f>60.25%*2+K125+L125/2</f>
        <v>1.2050000000000001</v>
      </c>
      <c r="O125" s="13">
        <f>0.466+0.15+38.25%</f>
        <v>0.99849999999999994</v>
      </c>
      <c r="P125" s="9">
        <f>0.5</f>
        <v>0.5</v>
      </c>
      <c r="Q125" s="9">
        <v>1.1000000000000001</v>
      </c>
      <c r="R125" s="13">
        <v>8.0239999999999991</v>
      </c>
      <c r="S125" s="12" t="s">
        <v>180</v>
      </c>
      <c r="T125" s="10">
        <f>H125*R125*(1+O125)*(1+N125+0.4)*P125*Q125</f>
        <v>30143.891976352003</v>
      </c>
    </row>
    <row r="126" spans="1:21" x14ac:dyDescent="0.25">
      <c r="C126" s="12"/>
      <c r="I126" s="21"/>
      <c r="J126" s="22"/>
    </row>
    <row r="127" spans="1:21" x14ac:dyDescent="0.25">
      <c r="A127" s="7" t="s">
        <v>9</v>
      </c>
      <c r="B127" s="7" t="s">
        <v>10</v>
      </c>
      <c r="C127" s="7" t="s">
        <v>11</v>
      </c>
      <c r="D127" s="7" t="s">
        <v>12</v>
      </c>
      <c r="E127" s="8" t="s">
        <v>13</v>
      </c>
      <c r="F127" s="9" t="s">
        <v>14</v>
      </c>
      <c r="G127" s="9" t="s">
        <v>15</v>
      </c>
      <c r="H127" s="10" t="s">
        <v>16</v>
      </c>
      <c r="J127" s="15"/>
      <c r="K127" s="13" t="s">
        <v>19</v>
      </c>
      <c r="L127" s="13" t="s">
        <v>20</v>
      </c>
      <c r="M127" s="14" t="s">
        <v>21</v>
      </c>
      <c r="N127" s="14" t="s">
        <v>22</v>
      </c>
      <c r="O127" s="13" t="s">
        <v>23</v>
      </c>
      <c r="P127" s="9" t="s">
        <v>24</v>
      </c>
      <c r="Q127" s="9" t="s">
        <v>25</v>
      </c>
      <c r="R127" s="13" t="s">
        <v>26</v>
      </c>
      <c r="S127" s="7" t="s">
        <v>27</v>
      </c>
      <c r="T127" s="10" t="s">
        <v>28</v>
      </c>
    </row>
    <row r="128" spans="1:21" x14ac:dyDescent="0.25">
      <c r="A128" s="12" t="s">
        <v>181</v>
      </c>
      <c r="B128" s="12" t="s">
        <v>182</v>
      </c>
      <c r="C128" s="7" t="s">
        <v>177</v>
      </c>
      <c r="D128" s="12" t="s">
        <v>171</v>
      </c>
      <c r="E128" s="18" t="s">
        <v>183</v>
      </c>
      <c r="F128" s="9">
        <v>225</v>
      </c>
      <c r="G128" s="9">
        <v>674</v>
      </c>
      <c r="H128" s="10">
        <f>(F128+G128)*(1+0.331+0.466+0.3)+311</f>
        <v>2196.203</v>
      </c>
      <c r="J128" s="15"/>
      <c r="K128" s="13">
        <v>0</v>
      </c>
      <c r="L128" s="13">
        <v>0</v>
      </c>
      <c r="M128" s="14">
        <f>60.25%+K128/2+L128/4</f>
        <v>0.60250000000000004</v>
      </c>
      <c r="N128" s="14">
        <f>60.25%*2+K128+L128/2</f>
        <v>1.2050000000000001</v>
      </c>
      <c r="O128" s="13">
        <f>0.466+0.15+0.12+0.24</f>
        <v>0.97599999999999998</v>
      </c>
      <c r="P128" s="9">
        <f>0.5</f>
        <v>0.5</v>
      </c>
      <c r="Q128" s="9">
        <v>0.9</v>
      </c>
      <c r="R128" s="13">
        <f>4.8348+1.2087*4+2.4174</f>
        <v>12.087000000000002</v>
      </c>
      <c r="S128" s="12" t="s">
        <v>184</v>
      </c>
      <c r="T128" s="10">
        <f>H128*R128*(1+O128)*(1+N128+0.32)*P128*Q128</f>
        <v>59600.765675247043</v>
      </c>
    </row>
    <row r="129" spans="1:20" x14ac:dyDescent="0.25">
      <c r="A129" s="12" t="s">
        <v>181</v>
      </c>
      <c r="B129" s="12" t="s">
        <v>61</v>
      </c>
      <c r="C129" s="7" t="s">
        <v>177</v>
      </c>
      <c r="D129" s="12" t="s">
        <v>171</v>
      </c>
      <c r="E129" s="18" t="s">
        <v>183</v>
      </c>
      <c r="F129" s="9">
        <v>225</v>
      </c>
      <c r="G129" s="9">
        <v>510</v>
      </c>
      <c r="H129" s="10">
        <f>(F129+G129)*(1+0.466+0.3)+311</f>
        <v>1609.01</v>
      </c>
      <c r="J129" s="15"/>
      <c r="K129" s="13">
        <v>0</v>
      </c>
      <c r="L129" s="13">
        <v>0.55100000000000005</v>
      </c>
      <c r="M129" s="14">
        <f>60.25%+K129/2+L129/4</f>
        <v>0.74025000000000007</v>
      </c>
      <c r="N129" s="14">
        <f>60.25%*2+K129+L129/2</f>
        <v>1.4805000000000001</v>
      </c>
      <c r="O129" s="13">
        <f>0.466+0.15+0.96+0.24</f>
        <v>1.8160000000000001</v>
      </c>
      <c r="P129" s="9">
        <f>0.5</f>
        <v>0.5</v>
      </c>
      <c r="Q129" s="9">
        <v>0.9</v>
      </c>
      <c r="R129" s="13">
        <f>4.8348+1.2087*4+2.4174</f>
        <v>12.087000000000002</v>
      </c>
      <c r="S129" s="12" t="s">
        <v>184</v>
      </c>
      <c r="T129" s="10">
        <f>H129*R129*(1+O129)*(1+N129+0.32)*P129*Q129</f>
        <v>69017.306545991232</v>
      </c>
    </row>
    <row r="130" spans="1:20" x14ac:dyDescent="0.25">
      <c r="A130" s="12" t="s">
        <v>181</v>
      </c>
      <c r="B130" s="12" t="s">
        <v>185</v>
      </c>
      <c r="C130" s="7" t="s">
        <v>177</v>
      </c>
      <c r="D130" s="12" t="s">
        <v>171</v>
      </c>
      <c r="E130" s="18" t="s">
        <v>183</v>
      </c>
      <c r="F130" s="9">
        <v>225</v>
      </c>
      <c r="G130" s="9">
        <v>510</v>
      </c>
      <c r="H130" s="10">
        <f>(F130+G130)*(1+0.466+0.3)+311</f>
        <v>1609.01</v>
      </c>
      <c r="J130" s="15"/>
      <c r="K130" s="13">
        <v>0.27600000000000002</v>
      </c>
      <c r="L130" s="13">
        <v>0</v>
      </c>
      <c r="M130" s="14">
        <f>60.25%+K130/2+L130/4</f>
        <v>0.74050000000000005</v>
      </c>
      <c r="N130" s="14">
        <f>60.25%*2+K130+L130/2</f>
        <v>1.4810000000000001</v>
      </c>
      <c r="O130" s="13">
        <f>0.466+0.15+0.4+0.24</f>
        <v>1.256</v>
      </c>
      <c r="P130" s="9">
        <f>0.5</f>
        <v>0.5</v>
      </c>
      <c r="Q130" s="9">
        <v>0.9</v>
      </c>
      <c r="R130" s="13">
        <f>4.8348+1.2087*4+2.4174</f>
        <v>12.087000000000002</v>
      </c>
      <c r="S130" s="12" t="s">
        <v>184</v>
      </c>
      <c r="T130" s="10">
        <f>H130*R130*(1+O130)*(1+N130+0.32)*P130*Q130</f>
        <v>55302.145851756031</v>
      </c>
    </row>
    <row r="131" spans="1:2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x14ac:dyDescent="0.25">
      <c r="A132" s="7" t="s">
        <v>9</v>
      </c>
      <c r="B132" s="7" t="s">
        <v>10</v>
      </c>
      <c r="C132" s="7" t="s">
        <v>11</v>
      </c>
      <c r="D132" s="7" t="s">
        <v>12</v>
      </c>
      <c r="E132" s="8" t="s">
        <v>13</v>
      </c>
      <c r="F132" s="9" t="s">
        <v>14</v>
      </c>
      <c r="G132" s="9" t="s">
        <v>15</v>
      </c>
      <c r="H132" s="10" t="s">
        <v>16</v>
      </c>
      <c r="I132" s="11" t="s">
        <v>18</v>
      </c>
      <c r="J132" s="15" t="s">
        <v>136</v>
      </c>
      <c r="K132" s="13" t="s">
        <v>19</v>
      </c>
      <c r="L132" s="13" t="s">
        <v>20</v>
      </c>
      <c r="M132" s="14" t="s">
        <v>21</v>
      </c>
      <c r="N132" s="14" t="s">
        <v>22</v>
      </c>
      <c r="O132" s="13" t="s">
        <v>23</v>
      </c>
      <c r="P132" s="9" t="s">
        <v>24</v>
      </c>
      <c r="Q132" s="9" t="s">
        <v>25</v>
      </c>
      <c r="R132" s="13" t="s">
        <v>26</v>
      </c>
      <c r="S132" s="7" t="s">
        <v>27</v>
      </c>
      <c r="T132" s="10" t="s">
        <v>28</v>
      </c>
    </row>
    <row r="133" spans="1:20" x14ac:dyDescent="0.25">
      <c r="A133" s="7" t="s">
        <v>186</v>
      </c>
      <c r="B133" s="7" t="s">
        <v>65</v>
      </c>
      <c r="C133" s="7" t="s">
        <v>177</v>
      </c>
      <c r="D133" s="7" t="s">
        <v>187</v>
      </c>
      <c r="E133" s="8" t="s">
        <v>166</v>
      </c>
      <c r="F133" s="9">
        <v>244</v>
      </c>
      <c r="G133" s="9">
        <v>608</v>
      </c>
      <c r="H133" s="10">
        <f>(F133+G133)*(1+0.3+0.496+0.466+0.2)+311</f>
        <v>2408.6240000000003</v>
      </c>
      <c r="I133" s="11">
        <f>96+187+160</f>
        <v>443</v>
      </c>
      <c r="J133" s="15">
        <f>0.358</f>
        <v>0.35799999999999998</v>
      </c>
      <c r="K133" s="13">
        <v>0</v>
      </c>
      <c r="L133" s="13">
        <v>0</v>
      </c>
      <c r="M133" s="14" t="s">
        <v>45</v>
      </c>
      <c r="N133" s="14" t="s">
        <v>45</v>
      </c>
      <c r="O133" s="13">
        <v>0.15</v>
      </c>
      <c r="P133" s="9">
        <f t="shared" ref="P133:P139" si="22">0.5</f>
        <v>0.5</v>
      </c>
      <c r="Q133" s="9">
        <v>0.9</v>
      </c>
      <c r="R133" s="13">
        <v>0</v>
      </c>
      <c r="S133" s="7" t="s">
        <v>188</v>
      </c>
      <c r="T133" s="10">
        <f>(1280+159.74%*H133)*(1+J133)</f>
        <v>6963.1938575808008</v>
      </c>
    </row>
    <row r="134" spans="1:20" x14ac:dyDescent="0.25">
      <c r="A134" s="7" t="s">
        <v>186</v>
      </c>
      <c r="B134" s="7" t="s">
        <v>189</v>
      </c>
      <c r="C134" s="7" t="s">
        <v>177</v>
      </c>
      <c r="D134" s="7" t="s">
        <v>187</v>
      </c>
      <c r="E134" s="8" t="s">
        <v>166</v>
      </c>
      <c r="F134" s="9">
        <v>244</v>
      </c>
      <c r="G134" s="9">
        <v>454</v>
      </c>
      <c r="H134" s="10">
        <f>(F134+G134)*(1+0.3+0.466)+311</f>
        <v>1543.6680000000001</v>
      </c>
      <c r="I134" s="11">
        <f>96+187+160</f>
        <v>443</v>
      </c>
      <c r="J134" s="15">
        <f>0.358</f>
        <v>0.35799999999999998</v>
      </c>
      <c r="K134" s="13">
        <v>0</v>
      </c>
      <c r="L134" s="13">
        <v>0</v>
      </c>
      <c r="M134" s="14" t="s">
        <v>45</v>
      </c>
      <c r="N134" s="14" t="s">
        <v>45</v>
      </c>
      <c r="O134" s="13">
        <v>0.15</v>
      </c>
      <c r="P134" s="9">
        <f t="shared" si="22"/>
        <v>0.5</v>
      </c>
      <c r="Q134" s="9">
        <v>0.9</v>
      </c>
      <c r="R134" s="13">
        <v>0</v>
      </c>
      <c r="S134" s="7" t="s">
        <v>188</v>
      </c>
      <c r="T134" s="10">
        <f>(1280+159.74%*H134)*(1+J134)</f>
        <v>5086.8714474256012</v>
      </c>
    </row>
    <row r="135" spans="1:20" x14ac:dyDescent="0.25">
      <c r="J135" s="15"/>
    </row>
    <row r="136" spans="1:20" x14ac:dyDescent="0.25">
      <c r="A136" s="7" t="s">
        <v>9</v>
      </c>
      <c r="B136" s="7" t="s">
        <v>10</v>
      </c>
      <c r="C136" s="7" t="s">
        <v>11</v>
      </c>
      <c r="D136" s="7" t="s">
        <v>12</v>
      </c>
      <c r="E136" s="8" t="s">
        <v>13</v>
      </c>
      <c r="F136" s="9" t="s">
        <v>14</v>
      </c>
      <c r="G136" s="9" t="s">
        <v>15</v>
      </c>
      <c r="H136" s="10" t="s">
        <v>16</v>
      </c>
      <c r="I136" s="11" t="s">
        <v>18</v>
      </c>
      <c r="J136" s="15" t="s">
        <v>39</v>
      </c>
      <c r="K136" s="13" t="s">
        <v>19</v>
      </c>
      <c r="L136" s="13" t="s">
        <v>20</v>
      </c>
      <c r="M136" s="14" t="s">
        <v>21</v>
      </c>
      <c r="N136" s="14" t="s">
        <v>22</v>
      </c>
      <c r="O136" s="13" t="s">
        <v>23</v>
      </c>
      <c r="P136" s="9" t="s">
        <v>24</v>
      </c>
      <c r="Q136" s="9" t="s">
        <v>25</v>
      </c>
      <c r="R136" s="13" t="s">
        <v>26</v>
      </c>
      <c r="S136" s="7" t="s">
        <v>27</v>
      </c>
      <c r="T136" s="10" t="s">
        <v>28</v>
      </c>
    </row>
    <row r="137" spans="1:20" x14ac:dyDescent="0.25">
      <c r="A137" s="7" t="s">
        <v>190</v>
      </c>
      <c r="B137" s="7" t="s">
        <v>191</v>
      </c>
      <c r="C137" s="7" t="s">
        <v>177</v>
      </c>
      <c r="D137" s="7" t="s">
        <v>192</v>
      </c>
      <c r="E137" s="8" t="s">
        <v>193</v>
      </c>
      <c r="F137" s="9">
        <v>297</v>
      </c>
      <c r="G137" s="9">
        <v>608</v>
      </c>
      <c r="H137" s="10">
        <f>(F137+G137)*(1+0.2)+311</f>
        <v>1397</v>
      </c>
      <c r="I137" s="11">
        <f>115+187*3+160+195</f>
        <v>1031</v>
      </c>
      <c r="J137" s="15">
        <f>1+5.5%*4</f>
        <v>1.22</v>
      </c>
      <c r="K137" s="13">
        <v>0</v>
      </c>
      <c r="L137" s="13">
        <v>0</v>
      </c>
      <c r="M137" s="14" t="s">
        <v>45</v>
      </c>
      <c r="N137" s="14" t="s">
        <v>45</v>
      </c>
      <c r="O137" s="13">
        <v>0</v>
      </c>
      <c r="P137" s="9">
        <f t="shared" si="22"/>
        <v>0.5</v>
      </c>
      <c r="Q137" s="9">
        <v>1.1499999999999999</v>
      </c>
      <c r="R137" s="13">
        <v>0</v>
      </c>
      <c r="S137" s="7" t="s">
        <v>194</v>
      </c>
      <c r="T137" s="10">
        <f>868*Q137*(1+0.6+(16*I137)/(I137+2000))</f>
        <v>7029.7518706697465</v>
      </c>
    </row>
    <row r="138" spans="1:20" x14ac:dyDescent="0.25">
      <c r="A138" s="7" t="s">
        <v>190</v>
      </c>
      <c r="B138" s="12" t="s">
        <v>195</v>
      </c>
      <c r="C138" s="7" t="s">
        <v>177</v>
      </c>
      <c r="D138" s="7" t="s">
        <v>192</v>
      </c>
      <c r="E138" s="8" t="s">
        <v>193</v>
      </c>
      <c r="F138" s="9">
        <v>297</v>
      </c>
      <c r="G138" s="9">
        <v>510</v>
      </c>
      <c r="H138" s="10">
        <f>(F138+G138)*(1+0.2)+311</f>
        <v>1279.4000000000001</v>
      </c>
      <c r="I138" s="11">
        <f>115+187*3+160+165</f>
        <v>1001</v>
      </c>
      <c r="J138" s="15">
        <f>1+5.5%*4+0.072%*I138</f>
        <v>1.9407199999999998</v>
      </c>
      <c r="K138" s="13">
        <v>0</v>
      </c>
      <c r="L138" s="13">
        <v>0</v>
      </c>
      <c r="M138" s="14" t="s">
        <v>45</v>
      </c>
      <c r="N138" s="14" t="s">
        <v>45</v>
      </c>
      <c r="O138" s="13">
        <v>0</v>
      </c>
      <c r="P138" s="9">
        <f t="shared" si="22"/>
        <v>0.5</v>
      </c>
      <c r="Q138" s="9">
        <v>1.1499999999999999</v>
      </c>
      <c r="R138" s="13">
        <v>0</v>
      </c>
      <c r="S138" s="7" t="s">
        <v>194</v>
      </c>
      <c r="T138" s="10">
        <f>868*Q138*(1+0.6+(16*I138)/(I138+2000))</f>
        <v>6924.4013062312561</v>
      </c>
    </row>
    <row r="139" spans="1:20" x14ac:dyDescent="0.25">
      <c r="A139" s="7" t="s">
        <v>190</v>
      </c>
      <c r="B139" s="12" t="s">
        <v>157</v>
      </c>
      <c r="C139" s="7" t="s">
        <v>177</v>
      </c>
      <c r="D139" s="7" t="s">
        <v>192</v>
      </c>
      <c r="E139" s="8" t="s">
        <v>193</v>
      </c>
      <c r="F139" s="9">
        <v>297</v>
      </c>
      <c r="G139" s="9">
        <v>454</v>
      </c>
      <c r="H139" s="10">
        <f>(F139+G139)*(1+0.2)+311</f>
        <v>1212.1999999999998</v>
      </c>
      <c r="I139" s="11">
        <f>115+187*3+160</f>
        <v>836</v>
      </c>
      <c r="J139" s="15">
        <f>1+5.5%*4+0.613</f>
        <v>1.833</v>
      </c>
      <c r="K139" s="13">
        <v>0</v>
      </c>
      <c r="L139" s="13">
        <v>0</v>
      </c>
      <c r="M139" s="14" t="s">
        <v>45</v>
      </c>
      <c r="N139" s="14" t="s">
        <v>45</v>
      </c>
      <c r="O139" s="13">
        <v>0</v>
      </c>
      <c r="P139" s="9">
        <f t="shared" si="22"/>
        <v>0.5</v>
      </c>
      <c r="Q139" s="9">
        <v>1.1499999999999999</v>
      </c>
      <c r="R139" s="13">
        <v>0</v>
      </c>
      <c r="S139" s="7" t="s">
        <v>194</v>
      </c>
      <c r="T139" s="10">
        <f>868*Q139*(1+0.6+(16*I139)/(I139+2000))</f>
        <v>6305.1324118476714</v>
      </c>
    </row>
    <row r="141" spans="1:20" x14ac:dyDescent="0.25">
      <c r="A141" s="7" t="s">
        <v>9</v>
      </c>
      <c r="B141" s="7" t="s">
        <v>10</v>
      </c>
      <c r="C141" s="7" t="s">
        <v>11</v>
      </c>
      <c r="D141" s="7" t="s">
        <v>12</v>
      </c>
      <c r="E141" s="8" t="s">
        <v>13</v>
      </c>
      <c r="F141" s="9" t="s">
        <v>14</v>
      </c>
      <c r="G141" s="9" t="s">
        <v>15</v>
      </c>
      <c r="H141" s="10" t="s">
        <v>16</v>
      </c>
      <c r="I141" s="11" t="s">
        <v>17</v>
      </c>
      <c r="K141" s="13" t="s">
        <v>19</v>
      </c>
      <c r="L141" s="13" t="s">
        <v>20</v>
      </c>
      <c r="M141" s="14" t="s">
        <v>21</v>
      </c>
      <c r="N141" s="14" t="s">
        <v>22</v>
      </c>
      <c r="O141" s="13" t="s">
        <v>23</v>
      </c>
      <c r="P141" s="9" t="s">
        <v>24</v>
      </c>
      <c r="Q141" s="9" t="s">
        <v>25</v>
      </c>
      <c r="R141" s="13" t="s">
        <v>26</v>
      </c>
      <c r="S141" s="7" t="s">
        <v>27</v>
      </c>
      <c r="T141" s="10" t="s">
        <v>28</v>
      </c>
    </row>
    <row r="142" spans="1:20" x14ac:dyDescent="0.25">
      <c r="A142" s="7" t="s">
        <v>196</v>
      </c>
      <c r="B142" s="7" t="s">
        <v>197</v>
      </c>
      <c r="C142" s="12" t="s">
        <v>198</v>
      </c>
      <c r="D142" s="7" t="s">
        <v>171</v>
      </c>
      <c r="E142" s="8" t="s">
        <v>199</v>
      </c>
      <c r="F142" s="9">
        <v>349</v>
      </c>
      <c r="G142" s="9">
        <v>674</v>
      </c>
      <c r="H142" s="10">
        <f>(F142+G142)*(1+0.3+0.466+0.18)+311</f>
        <v>2301.7579999999998</v>
      </c>
      <c r="J142" s="22">
        <f>(F142+G142)*(1+0.3+0.466+0.18+7*3.2%+0.18)+311</f>
        <v>2715.05</v>
      </c>
      <c r="K142" s="13">
        <f>19.2%+22.1%</f>
        <v>0.41300000000000003</v>
      </c>
      <c r="L142" s="13">
        <f>0</f>
        <v>0</v>
      </c>
      <c r="M142" s="14">
        <v>0.8</v>
      </c>
      <c r="N142" s="14">
        <f>60.25%*2+K142+L142/2+0.9%*2</f>
        <v>1.6360000000000001</v>
      </c>
      <c r="O142" s="13">
        <f>0.466+0.12+0.9065+0.05</f>
        <v>1.5425000000000002</v>
      </c>
      <c r="P142" s="9">
        <f>0.5</f>
        <v>0.5</v>
      </c>
      <c r="Q142" s="9">
        <f>0.9</f>
        <v>0.9</v>
      </c>
      <c r="R142" s="13">
        <v>4.0401999999999996</v>
      </c>
      <c r="S142" s="12" t="s">
        <v>200</v>
      </c>
      <c r="T142" s="10">
        <f>J142*R142*(1+O142)*(1+N142)*P142*Q142</f>
        <v>33082.595701816637</v>
      </c>
    </row>
    <row r="143" spans="1:20" x14ac:dyDescent="0.25">
      <c r="A143" s="7" t="s">
        <v>196</v>
      </c>
      <c r="B143" s="7" t="s">
        <v>30</v>
      </c>
      <c r="C143" s="12" t="s">
        <v>198</v>
      </c>
      <c r="D143" s="7" t="s">
        <v>171</v>
      </c>
      <c r="E143" s="8" t="s">
        <v>199</v>
      </c>
      <c r="F143" s="9">
        <v>349</v>
      </c>
      <c r="G143" s="9">
        <v>608</v>
      </c>
      <c r="H143" s="10">
        <f>(F143+G143)*(1+0.3+0.466+0.18)+311+0.8%*I143</f>
        <v>2354.2052000000003</v>
      </c>
      <c r="I143" s="11">
        <f>12736*(1+0.2+0.2)+4780</f>
        <v>22610.399999999998</v>
      </c>
      <c r="J143" s="22">
        <f>(F143+G143)*(1+0.3+0.466+0.18+0.18)+311+0.8%*I143</f>
        <v>2526.4651999999996</v>
      </c>
      <c r="K143" s="13">
        <f>19.2%</f>
        <v>0.192</v>
      </c>
      <c r="L143" s="13">
        <f>66.2%</f>
        <v>0.66200000000000003</v>
      </c>
      <c r="M143" s="14">
        <v>0.8</v>
      </c>
      <c r="N143" s="14">
        <f>60.25%*2+K143+L143/2+6.4%*2</f>
        <v>1.8559999999999999</v>
      </c>
      <c r="O143" s="13">
        <f>0.466+0.9065+0.05</f>
        <v>1.4225000000000001</v>
      </c>
      <c r="P143" s="9">
        <f>0.5</f>
        <v>0.5</v>
      </c>
      <c r="Q143" s="9">
        <f>0.9</f>
        <v>0.9</v>
      </c>
      <c r="R143" s="13">
        <v>4.0401999999999996</v>
      </c>
      <c r="S143" s="7" t="s">
        <v>200</v>
      </c>
      <c r="T143" s="10">
        <f>J143*R143*(1+O143)*(1+N143)*P143*Q143</f>
        <v>31779.765441943833</v>
      </c>
    </row>
    <row r="144" spans="1:20" x14ac:dyDescent="0.25">
      <c r="A144" s="7" t="s">
        <v>196</v>
      </c>
      <c r="B144" s="7" t="s">
        <v>37</v>
      </c>
      <c r="C144" s="12" t="s">
        <v>198</v>
      </c>
      <c r="D144" s="7" t="s">
        <v>171</v>
      </c>
      <c r="E144" s="8" t="s">
        <v>199</v>
      </c>
      <c r="F144" s="9">
        <v>349</v>
      </c>
      <c r="G144" s="9">
        <v>454</v>
      </c>
      <c r="H144" s="10">
        <f>(F144+G144)*(1+0.3+0.466+0.18+0.24)+311</f>
        <v>2066.3580000000002</v>
      </c>
      <c r="J144" s="22">
        <f>(F144+G144)*(1+0.3+0.466+0.18+0.24+0.18)+311</f>
        <v>2210.8980000000001</v>
      </c>
      <c r="K144" s="13">
        <f>19.2%+36.8%</f>
        <v>0.56000000000000005</v>
      </c>
      <c r="L144" s="13">
        <f>0</f>
        <v>0</v>
      </c>
      <c r="M144" s="14">
        <v>0.8</v>
      </c>
      <c r="N144" s="14">
        <f>60.25%*2+K144+L144/2+8.25%*2</f>
        <v>1.9300000000000002</v>
      </c>
      <c r="O144" s="13">
        <f>0.466+0.9065+0.05</f>
        <v>1.4225000000000001</v>
      </c>
      <c r="P144" s="9">
        <f>0.5</f>
        <v>0.5</v>
      </c>
      <c r="Q144" s="9">
        <f>0.9</f>
        <v>0.9</v>
      </c>
      <c r="R144" s="13">
        <v>4.0401999999999996</v>
      </c>
      <c r="S144" s="7" t="s">
        <v>200</v>
      </c>
      <c r="T144" s="10">
        <f>J144*R144*(1+O144)*(1+N144)*P144*Q144</f>
        <v>28530.9012742665</v>
      </c>
    </row>
    <row r="146" spans="1:20" x14ac:dyDescent="0.25">
      <c r="A146" s="7" t="s">
        <v>9</v>
      </c>
      <c r="B146" s="7" t="s">
        <v>10</v>
      </c>
      <c r="C146" s="7" t="s">
        <v>11</v>
      </c>
      <c r="D146" s="7" t="s">
        <v>12</v>
      </c>
      <c r="E146" s="8" t="s">
        <v>13</v>
      </c>
      <c r="F146" s="9" t="s">
        <v>14</v>
      </c>
      <c r="G146" s="9" t="s">
        <v>15</v>
      </c>
      <c r="H146" s="10" t="s">
        <v>16</v>
      </c>
      <c r="I146" s="11" t="s">
        <v>18</v>
      </c>
      <c r="J146" s="15" t="s">
        <v>39</v>
      </c>
      <c r="K146" s="13" t="s">
        <v>19</v>
      </c>
      <c r="L146" s="13" t="s">
        <v>20</v>
      </c>
      <c r="M146" s="14" t="s">
        <v>21</v>
      </c>
      <c r="N146" s="14" t="s">
        <v>22</v>
      </c>
      <c r="O146" s="13" t="s">
        <v>23</v>
      </c>
      <c r="P146" s="9" t="s">
        <v>24</v>
      </c>
      <c r="Q146" s="9" t="s">
        <v>25</v>
      </c>
      <c r="R146" s="13" t="s">
        <v>26</v>
      </c>
      <c r="S146" s="7" t="s">
        <v>27</v>
      </c>
      <c r="T146" s="10" t="s">
        <v>28</v>
      </c>
    </row>
    <row r="147" spans="1:20" x14ac:dyDescent="0.25">
      <c r="A147" s="7" t="s">
        <v>201</v>
      </c>
      <c r="B147" s="7" t="s">
        <v>82</v>
      </c>
      <c r="C147" s="7" t="s">
        <v>177</v>
      </c>
      <c r="D147" s="7" t="s">
        <v>192</v>
      </c>
      <c r="E147" s="8" t="s">
        <v>193</v>
      </c>
      <c r="F147" s="9">
        <v>263</v>
      </c>
      <c r="G147" s="9">
        <v>608</v>
      </c>
      <c r="H147" s="10">
        <f>(F147+G147)*(1+0.2)+311</f>
        <v>1356.2</v>
      </c>
      <c r="I147" s="11">
        <f>187*3+160+60</f>
        <v>781</v>
      </c>
      <c r="J147" s="15">
        <f>1+0.551+0.2+0.32</f>
        <v>2.0710000000000002</v>
      </c>
      <c r="K147" s="13">
        <v>0</v>
      </c>
      <c r="L147" s="13">
        <v>0</v>
      </c>
      <c r="M147" s="14" t="s">
        <v>45</v>
      </c>
      <c r="N147" s="14" t="s">
        <v>45</v>
      </c>
      <c r="O147" s="13">
        <v>0</v>
      </c>
      <c r="P147" s="9">
        <f>0.5</f>
        <v>0.5</v>
      </c>
      <c r="Q147" s="9">
        <v>1.1499999999999999</v>
      </c>
      <c r="R147" s="13">
        <v>0</v>
      </c>
      <c r="S147" s="7" t="s">
        <v>194</v>
      </c>
      <c r="T147" s="10">
        <f>868*Q147*(1+0.6+(16*I147+1600)/(I147+2000+100))</f>
        <v>6481.0586324192982</v>
      </c>
    </row>
    <row r="148" spans="1:20" x14ac:dyDescent="0.25">
      <c r="A148" s="7" t="s">
        <v>201</v>
      </c>
      <c r="B148" s="7" t="s">
        <v>125</v>
      </c>
      <c r="C148" s="7" t="s">
        <v>177</v>
      </c>
      <c r="D148" s="7" t="s">
        <v>192</v>
      </c>
      <c r="E148" s="18" t="s">
        <v>193</v>
      </c>
      <c r="F148" s="9">
        <v>263</v>
      </c>
      <c r="G148" s="9">
        <v>454</v>
      </c>
      <c r="H148" s="10">
        <f>(F148+G148)*(1+0.2)+311</f>
        <v>1171.4000000000001</v>
      </c>
      <c r="I148" s="11">
        <f>187*3+160</f>
        <v>721</v>
      </c>
      <c r="J148" s="15">
        <f>1+0.613+0.2+0.32</f>
        <v>2.133</v>
      </c>
      <c r="K148" s="13">
        <v>0</v>
      </c>
      <c r="L148" s="13">
        <v>0</v>
      </c>
      <c r="M148" s="14" t="s">
        <v>45</v>
      </c>
      <c r="N148" s="14" t="s">
        <v>45</v>
      </c>
      <c r="O148" s="13">
        <v>0</v>
      </c>
      <c r="P148" s="9">
        <f>0.5</f>
        <v>0.5</v>
      </c>
      <c r="Q148" s="9">
        <v>1.1499999999999999</v>
      </c>
      <c r="R148" s="13">
        <v>0</v>
      </c>
      <c r="S148" s="7" t="s">
        <v>194</v>
      </c>
      <c r="T148" s="10">
        <f>868*Q148*(1+0.6+(16*I148)/(I148+2000))</f>
        <v>5829.1064755604548</v>
      </c>
    </row>
    <row r="149" spans="1:20" x14ac:dyDescent="0.25">
      <c r="A149" s="7" t="s">
        <v>201</v>
      </c>
      <c r="B149" s="7" t="s">
        <v>202</v>
      </c>
      <c r="C149" s="7" t="s">
        <v>177</v>
      </c>
      <c r="D149" s="7" t="s">
        <v>203</v>
      </c>
      <c r="E149" s="8" t="s">
        <v>193</v>
      </c>
      <c r="F149" s="9">
        <v>263</v>
      </c>
      <c r="G149" s="9">
        <v>510</v>
      </c>
      <c r="H149" s="10">
        <f>(F149+G149)*(1+0.2)+311</f>
        <v>1238.5999999999999</v>
      </c>
      <c r="I149" s="11">
        <f>187*2+160+165</f>
        <v>699</v>
      </c>
      <c r="J149" s="15">
        <f>1+0.518+0.2+0.32</f>
        <v>2.0379999999999998</v>
      </c>
      <c r="K149" s="13">
        <v>0</v>
      </c>
      <c r="L149" s="13">
        <v>0</v>
      </c>
      <c r="M149" s="14" t="s">
        <v>45</v>
      </c>
      <c r="N149" s="14" t="s">
        <v>45</v>
      </c>
      <c r="O149" s="13">
        <v>0</v>
      </c>
      <c r="P149" s="9">
        <f>0.5</f>
        <v>0.5</v>
      </c>
      <c r="Q149" s="9">
        <v>1.1499999999999999</v>
      </c>
      <c r="R149" s="13">
        <v>0</v>
      </c>
      <c r="S149" s="7" t="s">
        <v>194</v>
      </c>
      <c r="T149" s="10">
        <f>868*Q149*(1+0.6+(16*I149)/(I149+2000))</f>
        <v>5733.4181845127814</v>
      </c>
    </row>
    <row r="151" spans="1:20" x14ac:dyDescent="0.25">
      <c r="A151" s="7" t="s">
        <v>9</v>
      </c>
      <c r="B151" s="7" t="s">
        <v>10</v>
      </c>
      <c r="C151" s="7" t="s">
        <v>11</v>
      </c>
      <c r="D151" s="7" t="s">
        <v>12</v>
      </c>
      <c r="E151" s="8" t="s">
        <v>13</v>
      </c>
      <c r="F151" s="9" t="s">
        <v>14</v>
      </c>
      <c r="G151" s="9" t="s">
        <v>15</v>
      </c>
      <c r="H151" s="10" t="s">
        <v>16</v>
      </c>
      <c r="I151" s="15" t="s">
        <v>39</v>
      </c>
      <c r="J151" s="15" t="s">
        <v>136</v>
      </c>
      <c r="K151" s="13" t="s">
        <v>19</v>
      </c>
      <c r="L151" s="13" t="s">
        <v>20</v>
      </c>
      <c r="M151" s="14" t="s">
        <v>21</v>
      </c>
      <c r="N151" s="14" t="s">
        <v>22</v>
      </c>
      <c r="O151" s="13" t="s">
        <v>23</v>
      </c>
      <c r="P151" s="9" t="s">
        <v>24</v>
      </c>
      <c r="Q151" s="9" t="s">
        <v>25</v>
      </c>
      <c r="R151" s="13" t="s">
        <v>26</v>
      </c>
      <c r="S151" s="7" t="s">
        <v>27</v>
      </c>
      <c r="T151" s="10" t="s">
        <v>28</v>
      </c>
    </row>
    <row r="152" spans="1:20" x14ac:dyDescent="0.25">
      <c r="A152" s="7" t="s">
        <v>204</v>
      </c>
      <c r="B152" s="12" t="s">
        <v>205</v>
      </c>
      <c r="C152" s="7" t="s">
        <v>177</v>
      </c>
      <c r="D152" s="7" t="s">
        <v>206</v>
      </c>
      <c r="E152" s="8" t="s">
        <v>207</v>
      </c>
      <c r="F152" s="9">
        <v>239</v>
      </c>
      <c r="G152" s="9">
        <v>454</v>
      </c>
      <c r="H152" s="10">
        <f>(F152+G152)*(1+0.3+0.466*2+0.551)+311</f>
        <v>2239.6190000000001</v>
      </c>
      <c r="I152" s="15">
        <f>1+0.459+0.2</f>
        <v>1.659</v>
      </c>
      <c r="J152" s="15">
        <f>0.358+0.222</f>
        <v>0.57999999999999996</v>
      </c>
      <c r="K152" s="13">
        <v>0</v>
      </c>
      <c r="L152" s="13">
        <v>0</v>
      </c>
      <c r="M152" s="14" t="s">
        <v>45</v>
      </c>
      <c r="N152" s="14" t="s">
        <v>45</v>
      </c>
      <c r="O152" s="13">
        <v>0</v>
      </c>
      <c r="P152" s="9">
        <f>0.5</f>
        <v>0.5</v>
      </c>
      <c r="Q152" s="9">
        <v>0.9</v>
      </c>
      <c r="R152" s="13">
        <v>0</v>
      </c>
      <c r="S152" s="7" t="s">
        <v>101</v>
      </c>
      <c r="T152" s="10">
        <f>(3389+452.16%*H152)*(1+J152)</f>
        <v>21354.744807232004</v>
      </c>
    </row>
    <row r="153" spans="1:20" x14ac:dyDescent="0.25">
      <c r="A153" s="7" t="s">
        <v>204</v>
      </c>
      <c r="B153" s="7" t="s">
        <v>208</v>
      </c>
      <c r="C153" s="7" t="s">
        <v>177</v>
      </c>
      <c r="D153" s="7" t="s">
        <v>206</v>
      </c>
      <c r="E153" s="8" t="s">
        <v>207</v>
      </c>
      <c r="F153" s="9">
        <v>239</v>
      </c>
      <c r="G153" s="9">
        <v>454</v>
      </c>
      <c r="H153" s="10">
        <f>(F153+G153)*(1+0.3+0.466*2)+311</f>
        <v>1857.7760000000001</v>
      </c>
      <c r="I153" s="15">
        <f>1+0.613+0.2</f>
        <v>1.8129999999999999</v>
      </c>
      <c r="J153" s="15">
        <f>0.358+0.222</f>
        <v>0.57999999999999996</v>
      </c>
      <c r="K153" s="13">
        <v>0</v>
      </c>
      <c r="L153" s="13">
        <v>0</v>
      </c>
      <c r="M153" s="14" t="s">
        <v>45</v>
      </c>
      <c r="N153" s="14" t="s">
        <v>45</v>
      </c>
      <c r="O153" s="13">
        <v>0</v>
      </c>
      <c r="P153" s="9">
        <f>0.5</f>
        <v>0.5</v>
      </c>
      <c r="Q153" s="9">
        <v>0.9</v>
      </c>
      <c r="R153" s="13">
        <v>0</v>
      </c>
      <c r="S153" s="7" t="s">
        <v>101</v>
      </c>
      <c r="T153" s="10">
        <f>(3389+452.16%*H153)*(1+J153)</f>
        <v>18626.809539328002</v>
      </c>
    </row>
    <row r="154" spans="1:20" x14ac:dyDescent="0.25">
      <c r="A154" s="7" t="s">
        <v>204</v>
      </c>
      <c r="B154" s="7" t="s">
        <v>97</v>
      </c>
      <c r="C154" s="7" t="s">
        <v>177</v>
      </c>
      <c r="D154" s="7" t="s">
        <v>209</v>
      </c>
      <c r="E154" s="8" t="s">
        <v>207</v>
      </c>
      <c r="F154" s="9">
        <v>239</v>
      </c>
      <c r="G154" s="9">
        <v>674</v>
      </c>
      <c r="H154" s="10">
        <f>(F154+G154)*(1+0.3+0.466+0.2)+311</f>
        <v>2105.9580000000001</v>
      </c>
      <c r="I154" s="15">
        <f>1+0.518+0.2</f>
        <v>1.718</v>
      </c>
      <c r="J154" s="15">
        <f>0.358+0.222</f>
        <v>0.57999999999999996</v>
      </c>
      <c r="K154" s="13">
        <v>0</v>
      </c>
      <c r="L154" s="13">
        <v>0</v>
      </c>
      <c r="M154" s="14" t="s">
        <v>45</v>
      </c>
      <c r="N154" s="14" t="s">
        <v>45</v>
      </c>
      <c r="O154" s="13">
        <v>0</v>
      </c>
      <c r="P154" s="9">
        <f>0.5</f>
        <v>0.5</v>
      </c>
      <c r="Q154" s="9">
        <v>0.9</v>
      </c>
      <c r="R154" s="13">
        <v>0</v>
      </c>
      <c r="S154" s="7" t="s">
        <v>101</v>
      </c>
      <c r="T154" s="10">
        <f>(3389+452.16%*H154)*(1+J154)</f>
        <v>20399.853514624003</v>
      </c>
    </row>
    <row r="156" spans="1:20" x14ac:dyDescent="0.25">
      <c r="A156" s="7" t="s">
        <v>9</v>
      </c>
      <c r="B156" s="7" t="s">
        <v>10</v>
      </c>
      <c r="C156" s="7" t="s">
        <v>11</v>
      </c>
      <c r="D156" s="7" t="s">
        <v>12</v>
      </c>
      <c r="E156" s="8" t="s">
        <v>13</v>
      </c>
      <c r="F156" s="9" t="s">
        <v>14</v>
      </c>
      <c r="G156" s="9" t="s">
        <v>15</v>
      </c>
      <c r="H156" s="10" t="s">
        <v>16</v>
      </c>
      <c r="I156" s="11" t="s">
        <v>18</v>
      </c>
      <c r="J156" s="15"/>
      <c r="K156" s="13" t="s">
        <v>19</v>
      </c>
      <c r="L156" s="13" t="s">
        <v>20</v>
      </c>
      <c r="M156" s="14" t="s">
        <v>21</v>
      </c>
      <c r="N156" s="14" t="s">
        <v>22</v>
      </c>
      <c r="O156" s="13" t="s">
        <v>23</v>
      </c>
      <c r="P156" s="9" t="s">
        <v>24</v>
      </c>
      <c r="Q156" s="9" t="s">
        <v>25</v>
      </c>
      <c r="R156" s="13" t="s">
        <v>26</v>
      </c>
      <c r="S156" s="7" t="s">
        <v>27</v>
      </c>
      <c r="T156" s="10" t="s">
        <v>28</v>
      </c>
    </row>
    <row r="157" spans="1:20" x14ac:dyDescent="0.25">
      <c r="A157" s="7" t="s">
        <v>210</v>
      </c>
      <c r="B157" s="7" t="s">
        <v>211</v>
      </c>
      <c r="C157" s="7" t="s">
        <v>177</v>
      </c>
      <c r="D157" s="7" t="s">
        <v>203</v>
      </c>
      <c r="E157" s="8" t="s">
        <v>193</v>
      </c>
      <c r="F157" s="9">
        <v>170</v>
      </c>
      <c r="G157" s="9">
        <v>454</v>
      </c>
      <c r="H157" s="10">
        <f>(F157+G157)*(1+0.2)+311</f>
        <v>1059.8</v>
      </c>
      <c r="I157" s="11">
        <f>187*2+160+221</f>
        <v>755</v>
      </c>
      <c r="J157" s="15"/>
      <c r="K157" s="13">
        <v>0</v>
      </c>
      <c r="L157" s="13">
        <v>0</v>
      </c>
      <c r="M157" s="14" t="s">
        <v>45</v>
      </c>
      <c r="N157" s="14" t="s">
        <v>45</v>
      </c>
      <c r="O157" s="13">
        <v>0</v>
      </c>
      <c r="P157" s="9">
        <f>0.5</f>
        <v>0.5</v>
      </c>
      <c r="Q157" s="9">
        <v>1.1499999999999999</v>
      </c>
      <c r="R157" s="13">
        <v>0</v>
      </c>
      <c r="S157" s="7" t="s">
        <v>194</v>
      </c>
      <c r="T157" s="10">
        <f>868*Q157*(1+0.6+(16*I157)/(I157+2000))</f>
        <v>5973.9824319419231</v>
      </c>
    </row>
    <row r="158" spans="1:20" x14ac:dyDescent="0.25">
      <c r="A158" s="7" t="s">
        <v>210</v>
      </c>
      <c r="B158" s="7" t="s">
        <v>143</v>
      </c>
      <c r="C158" s="7" t="s">
        <v>177</v>
      </c>
      <c r="D158" s="7" t="s">
        <v>203</v>
      </c>
      <c r="E158" s="8" t="s">
        <v>193</v>
      </c>
      <c r="F158" s="9">
        <v>170</v>
      </c>
      <c r="G158" s="9">
        <v>510</v>
      </c>
      <c r="H158" s="10">
        <f>(F158+G158)*(1+0.2)+311</f>
        <v>1127</v>
      </c>
      <c r="I158" s="11">
        <f>187*2+160</f>
        <v>534</v>
      </c>
      <c r="J158" s="15"/>
      <c r="K158" s="13">
        <v>0</v>
      </c>
      <c r="L158" s="13">
        <v>0</v>
      </c>
      <c r="M158" s="14" t="s">
        <v>45</v>
      </c>
      <c r="N158" s="14" t="s">
        <v>45</v>
      </c>
      <c r="O158" s="13">
        <v>0</v>
      </c>
      <c r="P158" s="9">
        <f>0.5</f>
        <v>0.5</v>
      </c>
      <c r="Q158" s="9">
        <v>1.1499999999999999</v>
      </c>
      <c r="R158" s="13">
        <v>0</v>
      </c>
      <c r="S158" s="7" t="s">
        <v>194</v>
      </c>
      <c r="T158" s="10">
        <f>868*Q158*(1+0.6+(16*I158)/(I158+2000))</f>
        <v>4962.7951381215471</v>
      </c>
    </row>
    <row r="159" spans="1:20" x14ac:dyDescent="0.25">
      <c r="A159" s="7" t="s">
        <v>210</v>
      </c>
      <c r="B159" s="7" t="s">
        <v>144</v>
      </c>
      <c r="C159" s="7" t="s">
        <v>177</v>
      </c>
      <c r="D159" s="7" t="s">
        <v>203</v>
      </c>
      <c r="E159" s="8" t="s">
        <v>193</v>
      </c>
      <c r="F159" s="9">
        <v>170</v>
      </c>
      <c r="G159" s="9">
        <v>401</v>
      </c>
      <c r="H159" s="10">
        <f>(F159+G159)*(1+0.2)+311</f>
        <v>996.19999999999993</v>
      </c>
      <c r="I159" s="11">
        <f>187*2+160</f>
        <v>534</v>
      </c>
      <c r="J159" s="15"/>
      <c r="K159" s="13">
        <v>0</v>
      </c>
      <c r="L159" s="13">
        <v>0</v>
      </c>
      <c r="M159" s="14" t="s">
        <v>45</v>
      </c>
      <c r="N159" s="14" t="s">
        <v>45</v>
      </c>
      <c r="O159" s="13">
        <v>0</v>
      </c>
      <c r="P159" s="9">
        <f>0.5</f>
        <v>0.5</v>
      </c>
      <c r="Q159" s="9">
        <v>1.1499999999999999</v>
      </c>
      <c r="R159" s="13">
        <v>0</v>
      </c>
      <c r="S159" s="7" t="s">
        <v>194</v>
      </c>
      <c r="T159" s="10">
        <f>868*Q159*(1+0.6+(16*I159)/(I159+2000))</f>
        <v>4962.7951381215471</v>
      </c>
    </row>
    <row r="160" spans="1:20" x14ac:dyDescent="0.25">
      <c r="J160" s="15"/>
    </row>
    <row r="161" spans="1:22" x14ac:dyDescent="0.25">
      <c r="A161" s="7" t="s">
        <v>9</v>
      </c>
      <c r="B161" s="7" t="s">
        <v>10</v>
      </c>
      <c r="C161" s="7" t="s">
        <v>11</v>
      </c>
      <c r="D161" s="7" t="s">
        <v>12</v>
      </c>
      <c r="E161" s="8" t="s">
        <v>13</v>
      </c>
      <c r="F161" s="9" t="s">
        <v>14</v>
      </c>
      <c r="G161" s="9" t="s">
        <v>15</v>
      </c>
      <c r="H161" s="10" t="s">
        <v>16</v>
      </c>
      <c r="I161" s="11" t="s">
        <v>18</v>
      </c>
      <c r="J161" s="15"/>
      <c r="K161" s="13" t="s">
        <v>19</v>
      </c>
      <c r="L161" s="13" t="s">
        <v>20</v>
      </c>
      <c r="M161" s="14" t="s">
        <v>21</v>
      </c>
      <c r="N161" s="14" t="s">
        <v>22</v>
      </c>
      <c r="O161" s="13" t="s">
        <v>23</v>
      </c>
      <c r="P161" s="9" t="s">
        <v>24</v>
      </c>
      <c r="Q161" s="9" t="s">
        <v>25</v>
      </c>
      <c r="R161" s="13" t="s">
        <v>26</v>
      </c>
      <c r="S161" s="7" t="s">
        <v>27</v>
      </c>
      <c r="T161" s="10" t="s">
        <v>28</v>
      </c>
    </row>
    <row r="162" spans="1:22" x14ac:dyDescent="0.25">
      <c r="A162" s="7" t="s">
        <v>212</v>
      </c>
      <c r="B162" s="7" t="s">
        <v>208</v>
      </c>
      <c r="C162" s="7" t="s">
        <v>177</v>
      </c>
      <c r="D162" s="7" t="s">
        <v>192</v>
      </c>
      <c r="E162" s="18" t="s">
        <v>193</v>
      </c>
      <c r="F162" s="9">
        <v>212</v>
      </c>
      <c r="G162" s="9">
        <v>454</v>
      </c>
      <c r="H162" s="10">
        <f>(F162+G162)*(1+0.2+0.24)+311</f>
        <v>1270.04</v>
      </c>
      <c r="I162" s="11">
        <f>187*3+160</f>
        <v>721</v>
      </c>
      <c r="J162" s="15"/>
      <c r="K162" s="13">
        <v>0</v>
      </c>
      <c r="L162" s="13">
        <v>0</v>
      </c>
      <c r="M162" s="14" t="s">
        <v>45</v>
      </c>
      <c r="N162" s="14" t="s">
        <v>45</v>
      </c>
      <c r="O162" s="13">
        <v>0</v>
      </c>
      <c r="P162" s="9">
        <f>0.5</f>
        <v>0.5</v>
      </c>
      <c r="Q162" s="9">
        <v>1.1499999999999999</v>
      </c>
      <c r="R162" s="13">
        <v>0</v>
      </c>
      <c r="S162" s="7" t="s">
        <v>194</v>
      </c>
      <c r="T162" s="10">
        <f>868*Q162*(1+0.6+(16*I162)/(I162+2000))</f>
        <v>5829.1064755604548</v>
      </c>
    </row>
    <row r="163" spans="1:22" x14ac:dyDescent="0.25">
      <c r="E163" s="18"/>
      <c r="J163" s="15"/>
    </row>
    <row r="164" spans="1:22" x14ac:dyDescent="0.25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</row>
    <row r="165" spans="1:22" x14ac:dyDescent="0.25">
      <c r="A165" s="7" t="s">
        <v>9</v>
      </c>
      <c r="B165" s="7" t="s">
        <v>10</v>
      </c>
      <c r="C165" s="7" t="s">
        <v>11</v>
      </c>
      <c r="D165" s="7" t="s">
        <v>12</v>
      </c>
      <c r="E165" s="8" t="s">
        <v>13</v>
      </c>
      <c r="F165" s="9" t="s">
        <v>14</v>
      </c>
      <c r="G165" s="9" t="s">
        <v>15</v>
      </c>
      <c r="H165" s="10" t="s">
        <v>16</v>
      </c>
      <c r="I165" s="11" t="s">
        <v>18</v>
      </c>
      <c r="J165" s="15" t="s">
        <v>39</v>
      </c>
      <c r="K165" s="13" t="s">
        <v>19</v>
      </c>
      <c r="L165" s="13" t="s">
        <v>20</v>
      </c>
      <c r="M165" s="14" t="s">
        <v>21</v>
      </c>
      <c r="N165" s="14" t="s">
        <v>22</v>
      </c>
      <c r="O165" s="13" t="s">
        <v>23</v>
      </c>
      <c r="P165" s="9" t="s">
        <v>24</v>
      </c>
      <c r="Q165" s="9" t="s">
        <v>25</v>
      </c>
      <c r="R165" s="13" t="s">
        <v>26</v>
      </c>
      <c r="S165" s="7" t="s">
        <v>27</v>
      </c>
      <c r="T165" s="10" t="s">
        <v>28</v>
      </c>
      <c r="U165" s="29" t="s">
        <v>18</v>
      </c>
      <c r="V165" s="30" t="s">
        <v>213</v>
      </c>
    </row>
    <row r="166" spans="1:22" x14ac:dyDescent="0.25">
      <c r="A166" s="12" t="s">
        <v>214</v>
      </c>
      <c r="B166" s="12" t="s">
        <v>215</v>
      </c>
      <c r="C166" s="12" t="s">
        <v>216</v>
      </c>
      <c r="D166" s="7" t="s">
        <v>217</v>
      </c>
      <c r="E166" s="18" t="s">
        <v>218</v>
      </c>
      <c r="F166" s="9">
        <f t="shared" ref="F166:F171" si="23">318</f>
        <v>318</v>
      </c>
      <c r="G166" s="9">
        <v>542</v>
      </c>
      <c r="H166" s="10">
        <f>(F166+G166)*(1)+311+52%*I166</f>
        <v>1351.44</v>
      </c>
      <c r="I166" s="11">
        <f>80+187+80</f>
        <v>347</v>
      </c>
      <c r="J166" s="14">
        <f t="shared" ref="J166:J171" si="24">120%</f>
        <v>1.2</v>
      </c>
      <c r="K166" s="13">
        <v>0.441</v>
      </c>
      <c r="L166" s="13">
        <v>0.38400000000000001</v>
      </c>
      <c r="M166" s="14">
        <f>60.25%+K166/2+L166/4-11.9%</f>
        <v>0.8</v>
      </c>
      <c r="N166" s="14">
        <f>60.25%*2+K166+L166/2+11.9%*2</f>
        <v>2.0760000000000001</v>
      </c>
      <c r="O166" s="13">
        <f>0.466+0.35</f>
        <v>0.81600000000000006</v>
      </c>
      <c r="P166" s="9">
        <v>0.5</v>
      </c>
      <c r="Q166" s="9">
        <v>0.9</v>
      </c>
      <c r="R166" s="13">
        <v>2.6656</v>
      </c>
      <c r="S166" s="12" t="s">
        <v>219</v>
      </c>
      <c r="T166" s="10">
        <f>(V166*R166+1.15*1446.85*(1+(5*(U166))/(1200+U166)))*(1+O166)*(1+N166)*P166*Q166</f>
        <v>24368.115937141021</v>
      </c>
      <c r="U166" s="29">
        <f>I166+100+100</f>
        <v>547</v>
      </c>
      <c r="V166" s="28">
        <f>(F166+G166)*(1+0.14)+311+(52%+28%*3)*U166</f>
        <v>2035.3200000000002</v>
      </c>
    </row>
    <row r="167" spans="1:22" x14ac:dyDescent="0.25">
      <c r="A167" s="12" t="s">
        <v>214</v>
      </c>
      <c r="B167" s="12" t="s">
        <v>197</v>
      </c>
      <c r="C167" s="12" t="s">
        <v>216</v>
      </c>
      <c r="D167" s="7" t="s">
        <v>220</v>
      </c>
      <c r="E167" s="18" t="s">
        <v>218</v>
      </c>
      <c r="F167" s="9">
        <f t="shared" si="23"/>
        <v>318</v>
      </c>
      <c r="G167" s="9">
        <v>674</v>
      </c>
      <c r="H167" s="10">
        <f>(F167+G167)*(1+0.466)+311</f>
        <v>1765.2719999999999</v>
      </c>
      <c r="I167" s="11">
        <f>80+80</f>
        <v>160</v>
      </c>
      <c r="J167" s="14">
        <f t="shared" si="24"/>
        <v>1.2</v>
      </c>
      <c r="K167" s="13">
        <v>0.221</v>
      </c>
      <c r="L167" s="13">
        <v>0.38400000000000001</v>
      </c>
      <c r="M167" s="14">
        <f>60.25%+K167/2+L167/4-0.9%</f>
        <v>0.8</v>
      </c>
      <c r="N167" s="14">
        <f>60.25%*2+K167+L167/2+0.9%*2</f>
        <v>1.6360000000000001</v>
      </c>
      <c r="O167" s="13">
        <f>0.466+0.35+0.12</f>
        <v>0.93600000000000005</v>
      </c>
      <c r="P167" s="9">
        <v>0.5</v>
      </c>
      <c r="Q167" s="9">
        <v>0.9</v>
      </c>
      <c r="R167" s="13">
        <v>2.6656</v>
      </c>
      <c r="S167" s="12" t="s">
        <v>219</v>
      </c>
      <c r="T167" s="10">
        <f>(V167*R167+1.15*1446.85*(1+(5*(U167))/(1200+U167)))*(1+O167)*(1+N167)*P167*Q167</f>
        <v>21246.514556260678</v>
      </c>
      <c r="U167" s="29">
        <f>I167+100+100</f>
        <v>360</v>
      </c>
      <c r="V167" s="28">
        <f>(F167+G167)*(1+7*3.2%+0.466+0.14)+311</f>
        <v>2126.36</v>
      </c>
    </row>
    <row r="168" spans="1:22" x14ac:dyDescent="0.25">
      <c r="A168" s="12" t="s">
        <v>214</v>
      </c>
      <c r="B168" s="12" t="s">
        <v>37</v>
      </c>
      <c r="C168" s="12" t="s">
        <v>216</v>
      </c>
      <c r="D168" s="7" t="s">
        <v>217</v>
      </c>
      <c r="E168" s="18" t="s">
        <v>218</v>
      </c>
      <c r="F168" s="9">
        <f t="shared" si="23"/>
        <v>318</v>
      </c>
      <c r="G168" s="9">
        <v>454</v>
      </c>
      <c r="H168" s="10">
        <f>(F168+G168)*(1)+311</f>
        <v>1083</v>
      </c>
      <c r="I168" s="11">
        <f>80+187+80</f>
        <v>347</v>
      </c>
      <c r="J168" s="14">
        <f t="shared" si="24"/>
        <v>1.2</v>
      </c>
      <c r="K168" s="13">
        <v>0.36799999999999999</v>
      </c>
      <c r="L168" s="13">
        <v>0.38400000000000001</v>
      </c>
      <c r="M168" s="14">
        <f>60.25%+K168/2+L168/4-8.25%</f>
        <v>0.79999999999999993</v>
      </c>
      <c r="N168" s="14">
        <f>60.25%*2+K168+L168/2+8.25%*2</f>
        <v>1.93</v>
      </c>
      <c r="O168" s="13">
        <f>0.466+0.35</f>
        <v>0.81600000000000006</v>
      </c>
      <c r="P168" s="9">
        <v>0.5</v>
      </c>
      <c r="Q168" s="9">
        <v>0.9</v>
      </c>
      <c r="R168" s="13">
        <v>2.6656</v>
      </c>
      <c r="S168" s="12" t="s">
        <v>219</v>
      </c>
      <c r="T168" s="10">
        <f>(V168*R168+1.15*1446.85*(1+(5*(U168))/(1200+U168)))*(1+O168)*(1+N168)*P168*Q168</f>
        <v>19596.963331743613</v>
      </c>
      <c r="U168" s="29">
        <f>I168+100+100</f>
        <v>547</v>
      </c>
      <c r="V168" s="28">
        <f>(F168+G168)*(1+0.36+0.14)+311</f>
        <v>1469</v>
      </c>
    </row>
    <row r="169" spans="1:22" x14ac:dyDescent="0.25">
      <c r="A169" s="12" t="s">
        <v>214</v>
      </c>
      <c r="B169" s="12" t="s">
        <v>215</v>
      </c>
      <c r="C169" s="12" t="s">
        <v>221</v>
      </c>
      <c r="D169" s="7" t="s">
        <v>217</v>
      </c>
      <c r="E169" s="18" t="s">
        <v>218</v>
      </c>
      <c r="F169" s="9">
        <f t="shared" si="23"/>
        <v>318</v>
      </c>
      <c r="G169" s="9">
        <v>542</v>
      </c>
      <c r="H169" s="10">
        <f>(F169+G169)*(1)+311+52%*I169</f>
        <v>1309.8399999999999</v>
      </c>
      <c r="I169" s="11">
        <f>80+187</f>
        <v>267</v>
      </c>
      <c r="J169" s="14">
        <f t="shared" si="24"/>
        <v>1.2</v>
      </c>
      <c r="K169" s="13">
        <v>0.441</v>
      </c>
      <c r="L169" s="13">
        <v>0.38400000000000001</v>
      </c>
      <c r="M169" s="14">
        <f>60.25%+K169/2+L169/4-11.9%</f>
        <v>0.8</v>
      </c>
      <c r="N169" s="14">
        <f>60.25%*2+K169+L169/2+11.9%*2</f>
        <v>2.0760000000000001</v>
      </c>
      <c r="O169" s="13">
        <f>0.466+0.35+0.15</f>
        <v>0.96600000000000008</v>
      </c>
      <c r="P169" s="9">
        <v>0.5</v>
      </c>
      <c r="Q169" s="9">
        <v>0.9</v>
      </c>
      <c r="R169" s="13">
        <v>2.6656</v>
      </c>
      <c r="S169" s="12" t="s">
        <v>219</v>
      </c>
      <c r="T169" s="10">
        <f>(V169*R169+1.15*1446.85*(1.2+(5*(U169))/(1200+U169)))*(1+O169)*(1+N169)*P169*Q169</f>
        <v>22850.989775254271</v>
      </c>
      <c r="U169" s="29">
        <f>I169+100</f>
        <v>367</v>
      </c>
      <c r="V169" s="28">
        <f>(F169+G169)*(1)+311+(52%+28%*3)*U169</f>
        <v>1670.1200000000001</v>
      </c>
    </row>
    <row r="170" spans="1:22" x14ac:dyDescent="0.25">
      <c r="A170" s="12" t="s">
        <v>214</v>
      </c>
      <c r="B170" s="12" t="s">
        <v>197</v>
      </c>
      <c r="C170" s="12" t="s">
        <v>221</v>
      </c>
      <c r="D170" s="7" t="s">
        <v>217</v>
      </c>
      <c r="E170" s="18" t="s">
        <v>218</v>
      </c>
      <c r="F170" s="9">
        <f t="shared" si="23"/>
        <v>318</v>
      </c>
      <c r="G170" s="9">
        <v>674</v>
      </c>
      <c r="H170" s="10">
        <f>(F170+G170)*(1)+311</f>
        <v>1303</v>
      </c>
      <c r="I170" s="11">
        <f>80+187</f>
        <v>267</v>
      </c>
      <c r="J170" s="14">
        <f t="shared" si="24"/>
        <v>1.2</v>
      </c>
      <c r="K170" s="13">
        <v>0.221</v>
      </c>
      <c r="L170" s="13">
        <v>0.38400000000000001</v>
      </c>
      <c r="M170" s="14">
        <f>60.25%+K170/2+L170/4-0.9%</f>
        <v>0.8</v>
      </c>
      <c r="N170" s="14">
        <f>60.25%*2+K170+L170/2+0.9%*2</f>
        <v>1.6360000000000001</v>
      </c>
      <c r="O170" s="13">
        <f>0.466+0.35+0.12+0.15</f>
        <v>1.0860000000000001</v>
      </c>
      <c r="P170" s="9">
        <v>0.5</v>
      </c>
      <c r="Q170" s="9">
        <v>0.9</v>
      </c>
      <c r="R170" s="13">
        <v>2.6656</v>
      </c>
      <c r="S170" s="12" t="s">
        <v>219</v>
      </c>
      <c r="T170" s="10">
        <f>(V170*R170+1.15*1446.85*(1.2+(5*(U170))/(1200+U170)))*(1+O170)*(1+N170)*P170*Q170</f>
        <v>22870.817850891133</v>
      </c>
      <c r="U170" s="29">
        <f>I170+100</f>
        <v>367</v>
      </c>
      <c r="V170" s="28">
        <f>(F170+G170)*(1+7*3.2%+0.466)+311</f>
        <v>1987.48</v>
      </c>
    </row>
    <row r="171" spans="1:22" x14ac:dyDescent="0.25">
      <c r="A171" s="12" t="s">
        <v>214</v>
      </c>
      <c r="B171" s="12" t="s">
        <v>37</v>
      </c>
      <c r="C171" s="12" t="s">
        <v>221</v>
      </c>
      <c r="D171" s="7" t="s">
        <v>217</v>
      </c>
      <c r="E171" s="18" t="s">
        <v>218</v>
      </c>
      <c r="F171" s="9">
        <f t="shared" si="23"/>
        <v>318</v>
      </c>
      <c r="G171" s="9">
        <v>454</v>
      </c>
      <c r="H171" s="10">
        <f>(F171+G171)*(1)+311</f>
        <v>1083</v>
      </c>
      <c r="I171" s="11">
        <f>80+187</f>
        <v>267</v>
      </c>
      <c r="J171" s="14">
        <f t="shared" si="24"/>
        <v>1.2</v>
      </c>
      <c r="K171" s="13">
        <v>0.36799999999999999</v>
      </c>
      <c r="L171" s="13">
        <v>0.38400000000000001</v>
      </c>
      <c r="M171" s="14">
        <f>60.25%+K171/2+L171/4-8.25%</f>
        <v>0.79999999999999993</v>
      </c>
      <c r="N171" s="14">
        <f>60.25%*2+K171+L171/2+8.25%*2</f>
        <v>1.93</v>
      </c>
      <c r="O171" s="13">
        <f>0.466+0.35+0.15</f>
        <v>0.96600000000000008</v>
      </c>
      <c r="P171" s="9">
        <v>0.5</v>
      </c>
      <c r="Q171" s="9">
        <v>0.9</v>
      </c>
      <c r="R171" s="13">
        <v>2.6656</v>
      </c>
      <c r="S171" s="12" t="s">
        <v>219</v>
      </c>
      <c r="T171" s="10">
        <f>(V171*R171+1.15*1446.85*(1.2+(5*(U171))/(1200+U171)))*(1+O171)*(1+N171)*P171*Q171</f>
        <v>19629.908466322642</v>
      </c>
      <c r="U171" s="29">
        <f>I171+100</f>
        <v>367</v>
      </c>
      <c r="V171" s="28">
        <f>(F171+G171)*(1+0.36)+311</f>
        <v>1360.9199999999998</v>
      </c>
    </row>
    <row r="172" spans="1:2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2" s="5" customFormat="1" x14ac:dyDescent="0.25">
      <c r="A173" s="7" t="s">
        <v>9</v>
      </c>
      <c r="B173" s="7" t="s">
        <v>10</v>
      </c>
      <c r="C173" s="7" t="s">
        <v>11</v>
      </c>
      <c r="D173" s="7" t="s">
        <v>12</v>
      </c>
      <c r="E173" s="8" t="s">
        <v>13</v>
      </c>
      <c r="F173" s="9" t="s">
        <v>14</v>
      </c>
      <c r="G173" s="9" t="s">
        <v>15</v>
      </c>
      <c r="H173" s="10" t="s">
        <v>16</v>
      </c>
      <c r="I173" s="11" t="s">
        <v>39</v>
      </c>
      <c r="J173" s="15" t="s">
        <v>99</v>
      </c>
      <c r="K173" s="13" t="s">
        <v>19</v>
      </c>
      <c r="L173" s="13" t="s">
        <v>20</v>
      </c>
      <c r="M173" s="14" t="s">
        <v>21</v>
      </c>
      <c r="N173" s="14" t="s">
        <v>22</v>
      </c>
      <c r="O173" s="13" t="s">
        <v>23</v>
      </c>
      <c r="P173" s="9" t="s">
        <v>24</v>
      </c>
      <c r="Q173" s="9" t="s">
        <v>25</v>
      </c>
      <c r="R173" s="13" t="s">
        <v>26</v>
      </c>
      <c r="S173" s="7" t="s">
        <v>27</v>
      </c>
      <c r="T173" s="10" t="s">
        <v>28</v>
      </c>
    </row>
    <row r="174" spans="1:22" s="5" customFormat="1" x14ac:dyDescent="0.25">
      <c r="A174" s="12" t="s">
        <v>222</v>
      </c>
      <c r="B174" s="12" t="s">
        <v>76</v>
      </c>
      <c r="C174" s="12" t="s">
        <v>139</v>
      </c>
      <c r="D174" s="12" t="s">
        <v>145</v>
      </c>
      <c r="E174" s="18" t="s">
        <v>223</v>
      </c>
      <c r="F174" s="9">
        <v>223</v>
      </c>
      <c r="G174" s="9">
        <v>565</v>
      </c>
      <c r="H174" s="10">
        <f>(F174+G174)*(1)+311</f>
        <v>1099</v>
      </c>
      <c r="I174" s="21">
        <f>1+0.306+0.2</f>
        <v>1.506</v>
      </c>
      <c r="J174" s="11">
        <f>12397*(1+0.24+0.466*2+0.05*12)+4780</f>
        <v>39144.484000000004</v>
      </c>
      <c r="K174" s="13">
        <v>0</v>
      </c>
      <c r="L174" s="13">
        <v>0</v>
      </c>
      <c r="M174" s="15" t="s">
        <v>45</v>
      </c>
      <c r="N174" s="15" t="s">
        <v>45</v>
      </c>
      <c r="O174" s="13">
        <v>0</v>
      </c>
      <c r="P174" s="9">
        <v>0.5</v>
      </c>
      <c r="Q174" s="9">
        <v>0.9</v>
      </c>
      <c r="R174" s="13">
        <v>0.13339999999999999</v>
      </c>
      <c r="S174" s="12" t="s">
        <v>224</v>
      </c>
      <c r="T174" s="10">
        <f>(R174*J174+1642.54)*(1+0.358+0.15)</f>
        <v>10351.536561724801</v>
      </c>
    </row>
    <row r="175" spans="1:22" s="5" customFormat="1" x14ac:dyDescent="0.25">
      <c r="A175" s="12" t="s">
        <v>222</v>
      </c>
      <c r="B175" s="12" t="s">
        <v>189</v>
      </c>
      <c r="C175" s="12" t="s">
        <v>139</v>
      </c>
      <c r="D175" s="12" t="s">
        <v>145</v>
      </c>
      <c r="E175" s="18" t="s">
        <v>223</v>
      </c>
      <c r="F175" s="9">
        <v>223</v>
      </c>
      <c r="G175" s="9">
        <v>454</v>
      </c>
      <c r="H175" s="10">
        <f>(F175+G175)*(1)+311</f>
        <v>988</v>
      </c>
      <c r="I175" s="21">
        <f>1+0.613+0.2</f>
        <v>1.8129999999999999</v>
      </c>
      <c r="J175" s="11">
        <f>12397*(1+0.24+0.466*2+0.05*12)+4780</f>
        <v>39144.484000000004</v>
      </c>
      <c r="K175" s="13">
        <v>0</v>
      </c>
      <c r="L175" s="13">
        <v>0</v>
      </c>
      <c r="M175" s="15" t="s">
        <v>45</v>
      </c>
      <c r="N175" s="15" t="s">
        <v>45</v>
      </c>
      <c r="O175" s="13">
        <v>0</v>
      </c>
      <c r="P175" s="9">
        <v>0.5</v>
      </c>
      <c r="Q175" s="9">
        <v>0.9</v>
      </c>
      <c r="R175" s="13">
        <v>0.13339999999999999</v>
      </c>
      <c r="S175" s="12" t="s">
        <v>224</v>
      </c>
      <c r="T175" s="10">
        <f>(R175*J175+1642.54)*(1+0.358+0.15)</f>
        <v>10351.536561724801</v>
      </c>
    </row>
    <row r="176" spans="1:22" s="5" customFormat="1" x14ac:dyDescent="0.25">
      <c r="A176" s="12" t="s">
        <v>222</v>
      </c>
      <c r="B176" s="12" t="s">
        <v>225</v>
      </c>
      <c r="C176" s="12" t="s">
        <v>139</v>
      </c>
      <c r="D176" s="12" t="s">
        <v>100</v>
      </c>
      <c r="E176" s="18" t="s">
        <v>223</v>
      </c>
      <c r="F176" s="9">
        <v>223</v>
      </c>
      <c r="G176" s="9">
        <f>510</f>
        <v>510</v>
      </c>
      <c r="H176" s="10">
        <f>(F176+G176)*(1)+311</f>
        <v>1044</v>
      </c>
      <c r="I176" s="21">
        <f>1+0.518+0.2</f>
        <v>1.718</v>
      </c>
      <c r="J176" s="11">
        <f>12397*(1+0.24+0.466*1+0.05*12+0.413)+4780</f>
        <v>38487.442999999999</v>
      </c>
      <c r="K176" s="13">
        <v>0</v>
      </c>
      <c r="L176" s="13">
        <v>0</v>
      </c>
      <c r="M176" s="15" t="s">
        <v>45</v>
      </c>
      <c r="N176" s="15" t="s">
        <v>45</v>
      </c>
      <c r="O176" s="13">
        <v>0</v>
      </c>
      <c r="P176" s="9">
        <v>0.5</v>
      </c>
      <c r="Q176" s="9">
        <v>0.9</v>
      </c>
      <c r="R176" s="13">
        <v>0.13339999999999999</v>
      </c>
      <c r="S176" s="12" t="s">
        <v>224</v>
      </c>
      <c r="T176" s="10">
        <f>(R176*J176+1642.54)*(1+0.358+0.15)</f>
        <v>10219.361463469599</v>
      </c>
    </row>
    <row r="177" spans="1:21" s="5" customFormat="1" x14ac:dyDescent="0.25">
      <c r="A177" s="12"/>
      <c r="B177" s="12"/>
      <c r="C177" s="12"/>
      <c r="D177" s="12"/>
      <c r="E177" s="18"/>
      <c r="F177" s="9"/>
      <c r="G177" s="9"/>
      <c r="H177" s="10"/>
      <c r="I177" s="21"/>
      <c r="J177" s="11"/>
      <c r="K177" s="13"/>
      <c r="L177" s="13"/>
      <c r="M177" s="15"/>
      <c r="N177" s="15"/>
      <c r="O177" s="13"/>
      <c r="P177" s="9"/>
      <c r="Q177" s="9"/>
      <c r="R177" s="13"/>
      <c r="S177" s="12"/>
      <c r="T177" s="10"/>
    </row>
    <row r="178" spans="1:21" s="5" customFormat="1" x14ac:dyDescent="0.25">
      <c r="A178" s="7" t="s">
        <v>9</v>
      </c>
      <c r="B178" s="7" t="s">
        <v>10</v>
      </c>
      <c r="C178" s="7" t="s">
        <v>11</v>
      </c>
      <c r="D178" s="7" t="s">
        <v>12</v>
      </c>
      <c r="E178" s="8" t="s">
        <v>13</v>
      </c>
      <c r="F178" s="9" t="s">
        <v>14</v>
      </c>
      <c r="G178" s="9" t="s">
        <v>15</v>
      </c>
      <c r="H178" s="10" t="s">
        <v>16</v>
      </c>
      <c r="I178" s="11" t="s">
        <v>18</v>
      </c>
      <c r="J178" s="15" t="s">
        <v>99</v>
      </c>
      <c r="K178" s="13" t="s">
        <v>19</v>
      </c>
      <c r="L178" s="13" t="s">
        <v>20</v>
      </c>
      <c r="M178" s="14" t="s">
        <v>21</v>
      </c>
      <c r="N178" s="14" t="s">
        <v>22</v>
      </c>
      <c r="O178" s="13" t="s">
        <v>23</v>
      </c>
      <c r="P178" s="9" t="s">
        <v>24</v>
      </c>
      <c r="Q178" s="9" t="s">
        <v>25</v>
      </c>
      <c r="R178" s="13" t="s">
        <v>26</v>
      </c>
      <c r="S178" s="7" t="s">
        <v>27</v>
      </c>
      <c r="T178" s="10" t="s">
        <v>28</v>
      </c>
    </row>
    <row r="179" spans="1:21" s="5" customFormat="1" x14ac:dyDescent="0.25">
      <c r="A179" s="12" t="s">
        <v>226</v>
      </c>
      <c r="B179" s="12" t="s">
        <v>208</v>
      </c>
      <c r="C179" s="12" t="s">
        <v>77</v>
      </c>
      <c r="D179" s="12" t="s">
        <v>145</v>
      </c>
      <c r="E179" s="18" t="s">
        <v>227</v>
      </c>
      <c r="F179" s="9">
        <v>212</v>
      </c>
      <c r="G179" s="9">
        <v>454</v>
      </c>
      <c r="H179" s="10">
        <f>(F179+G179)*(1+0.15)+311</f>
        <v>1076.9000000000001</v>
      </c>
      <c r="I179" s="11">
        <f>20*8</f>
        <v>160</v>
      </c>
      <c r="J179" s="11">
        <f>12289*(1+0.24+0.2+0.466*2+0.05*12)+4780</f>
        <v>41302.908000000003</v>
      </c>
      <c r="K179" s="13">
        <v>0</v>
      </c>
      <c r="L179" s="13">
        <v>0</v>
      </c>
      <c r="M179" s="15" t="s">
        <v>45</v>
      </c>
      <c r="N179" s="15" t="s">
        <v>45</v>
      </c>
      <c r="O179" s="13">
        <v>0</v>
      </c>
      <c r="P179" s="9">
        <v>0.5</v>
      </c>
      <c r="Q179" s="9">
        <v>0.9</v>
      </c>
      <c r="R179" s="13">
        <v>0.06</v>
      </c>
      <c r="S179" s="12" t="s">
        <v>228</v>
      </c>
      <c r="T179" s="10">
        <f>(R179*J179+I179*0.75+739)*(1+0.358+0.15)</f>
        <v>5032.4591158399999</v>
      </c>
    </row>
    <row r="180" spans="1:21" s="5" customFormat="1" x14ac:dyDescent="0.25">
      <c r="A180" s="12" t="s">
        <v>226</v>
      </c>
      <c r="B180" s="12" t="s">
        <v>208</v>
      </c>
      <c r="C180" s="12" t="s">
        <v>216</v>
      </c>
      <c r="D180" s="12" t="s">
        <v>229</v>
      </c>
      <c r="E180" s="18" t="s">
        <v>227</v>
      </c>
      <c r="F180" s="9">
        <v>212</v>
      </c>
      <c r="G180" s="9">
        <v>454</v>
      </c>
      <c r="H180" s="10">
        <f>(F180+G180)*(1+0.15)+311</f>
        <v>1076.9000000000001</v>
      </c>
      <c r="I180" s="11">
        <f>20*8+80+187*2</f>
        <v>614</v>
      </c>
      <c r="J180" s="11">
        <f>12289*(1+0.24+0.05*12)+4780</f>
        <v>27391.760000000002</v>
      </c>
      <c r="K180" s="13">
        <v>0</v>
      </c>
      <c r="L180" s="13">
        <v>0</v>
      </c>
      <c r="M180" s="15" t="s">
        <v>45</v>
      </c>
      <c r="N180" s="15" t="s">
        <v>45</v>
      </c>
      <c r="O180" s="13">
        <v>0</v>
      </c>
      <c r="P180" s="9">
        <v>0.5</v>
      </c>
      <c r="Q180" s="9">
        <v>0.9</v>
      </c>
      <c r="R180" s="13">
        <v>0.06</v>
      </c>
      <c r="S180" s="12" t="s">
        <v>228</v>
      </c>
      <c r="T180" s="10">
        <f>(R180*J180+(I180+100)*0.75+739)*(1+0.358+0.15)</f>
        <v>4400.3524447999998</v>
      </c>
    </row>
    <row r="181" spans="1:21" s="5" customFormat="1" x14ac:dyDescent="0.25">
      <c r="A181" s="12" t="s">
        <v>226</v>
      </c>
      <c r="B181" s="12" t="s">
        <v>111</v>
      </c>
      <c r="C181" s="12" t="s">
        <v>77</v>
      </c>
      <c r="D181" s="12" t="s">
        <v>145</v>
      </c>
      <c r="E181" s="18" t="s">
        <v>227</v>
      </c>
      <c r="F181" s="9">
        <v>212</v>
      </c>
      <c r="G181" s="9">
        <f>510</f>
        <v>510</v>
      </c>
      <c r="H181" s="10">
        <f>(F181+G181)*(1+0.15)+311</f>
        <v>1141.3</v>
      </c>
      <c r="I181" s="11">
        <f>20*8+165</f>
        <v>325</v>
      </c>
      <c r="J181" s="11">
        <f>12289*(1+0.24+0.2+0.466*2+0.05*12)+4780</f>
        <v>41302.908000000003</v>
      </c>
      <c r="K181" s="13">
        <v>0</v>
      </c>
      <c r="L181" s="13">
        <v>0</v>
      </c>
      <c r="M181" s="15" t="s">
        <v>45</v>
      </c>
      <c r="N181" s="15" t="s">
        <v>45</v>
      </c>
      <c r="O181" s="13">
        <v>0</v>
      </c>
      <c r="P181" s="9">
        <v>0.5</v>
      </c>
      <c r="Q181" s="9">
        <v>0.9</v>
      </c>
      <c r="R181" s="13">
        <v>0.06</v>
      </c>
      <c r="S181" s="12" t="s">
        <v>228</v>
      </c>
      <c r="T181" s="10">
        <f>(R181*J181+I181*0.75+739)*(1+0.358+0.15)</f>
        <v>5219.0741158400006</v>
      </c>
    </row>
    <row r="182" spans="1:21" s="5" customFormat="1" x14ac:dyDescent="0.25">
      <c r="A182" s="12" t="s">
        <v>226</v>
      </c>
      <c r="B182" s="12" t="s">
        <v>111</v>
      </c>
      <c r="C182" s="12" t="s">
        <v>216</v>
      </c>
      <c r="D182" s="12" t="s">
        <v>229</v>
      </c>
      <c r="E182" s="18" t="s">
        <v>227</v>
      </c>
      <c r="F182" s="9">
        <v>212</v>
      </c>
      <c r="G182" s="9">
        <f>510</f>
        <v>510</v>
      </c>
      <c r="H182" s="10">
        <f>(F182+G182)*(1+0.15)+311</f>
        <v>1141.3</v>
      </c>
      <c r="I182" s="11">
        <f>20*8+165+187*2+80</f>
        <v>779</v>
      </c>
      <c r="J182" s="11">
        <f>12289*(1+0.24+0.05*12)+4780</f>
        <v>27391.760000000002</v>
      </c>
      <c r="K182" s="13">
        <v>0</v>
      </c>
      <c r="L182" s="13">
        <v>0</v>
      </c>
      <c r="M182" s="15" t="s">
        <v>45</v>
      </c>
      <c r="N182" s="15" t="s">
        <v>45</v>
      </c>
      <c r="O182" s="13">
        <v>0</v>
      </c>
      <c r="P182" s="9">
        <v>0.5</v>
      </c>
      <c r="Q182" s="9">
        <v>0.9</v>
      </c>
      <c r="R182" s="13">
        <v>0.06</v>
      </c>
      <c r="S182" s="12" t="s">
        <v>228</v>
      </c>
      <c r="T182" s="10">
        <f>(R182*J182+(I182+100)*0.75+739)*(1+0.358+0.15)</f>
        <v>4586.9674447999996</v>
      </c>
    </row>
    <row r="183" spans="1:21" s="5" customFormat="1" x14ac:dyDescent="0.25">
      <c r="A183" s="12"/>
      <c r="B183" s="12"/>
      <c r="C183" s="12"/>
      <c r="D183" s="12"/>
      <c r="E183" s="18"/>
      <c r="F183" s="9"/>
      <c r="G183" s="9"/>
      <c r="H183" s="10"/>
      <c r="I183" s="11"/>
      <c r="J183" s="11"/>
      <c r="K183" s="13"/>
      <c r="L183" s="13"/>
      <c r="M183" s="15"/>
      <c r="N183" s="15"/>
      <c r="O183" s="13"/>
      <c r="P183" s="9"/>
      <c r="Q183" s="9"/>
      <c r="R183" s="13"/>
      <c r="S183" s="12"/>
      <c r="T183" s="10"/>
    </row>
    <row r="184" spans="1:21" s="5" customFormat="1" x14ac:dyDescent="0.25">
      <c r="A184" s="7" t="s">
        <v>9</v>
      </c>
      <c r="B184" s="7" t="s">
        <v>10</v>
      </c>
      <c r="C184" s="7" t="s">
        <v>11</v>
      </c>
      <c r="D184" s="7" t="s">
        <v>12</v>
      </c>
      <c r="E184" s="8" t="s">
        <v>13</v>
      </c>
      <c r="F184" s="9" t="s">
        <v>14</v>
      </c>
      <c r="G184" s="9" t="s">
        <v>15</v>
      </c>
      <c r="H184" s="10" t="s">
        <v>16</v>
      </c>
      <c r="I184" s="11" t="s">
        <v>18</v>
      </c>
      <c r="J184" s="15"/>
      <c r="K184" s="13" t="s">
        <v>19</v>
      </c>
      <c r="L184" s="13" t="s">
        <v>20</v>
      </c>
      <c r="M184" s="14" t="s">
        <v>21</v>
      </c>
      <c r="N184" s="14" t="s">
        <v>22</v>
      </c>
      <c r="O184" s="13" t="s">
        <v>23</v>
      </c>
      <c r="P184" s="9" t="s">
        <v>24</v>
      </c>
      <c r="Q184" s="9" t="s">
        <v>25</v>
      </c>
      <c r="R184" s="13" t="s">
        <v>26</v>
      </c>
      <c r="S184" s="7" t="s">
        <v>27</v>
      </c>
      <c r="T184" s="10" t="s">
        <v>28</v>
      </c>
      <c r="U184" s="29" t="s">
        <v>18</v>
      </c>
    </row>
    <row r="185" spans="1:21" s="5" customFormat="1" x14ac:dyDescent="0.25">
      <c r="A185" s="12" t="s">
        <v>230</v>
      </c>
      <c r="B185" s="12" t="s">
        <v>231</v>
      </c>
      <c r="C185" s="12" t="s">
        <v>232</v>
      </c>
      <c r="D185" s="7" t="s">
        <v>220</v>
      </c>
      <c r="E185" s="18" t="s">
        <v>131</v>
      </c>
      <c r="F185" s="9">
        <f>340</f>
        <v>340</v>
      </c>
      <c r="G185" s="9">
        <f>608</f>
        <v>608</v>
      </c>
      <c r="H185" s="10">
        <f>(F185+G185)*(1+0.3+0.466+0.18)+311</f>
        <v>2155.808</v>
      </c>
      <c r="I185" s="11">
        <v>80</v>
      </c>
      <c r="J185" s="28">
        <f>(F185+G185)*(1+0.3+0.466+0.18)+311</f>
        <v>2155.808</v>
      </c>
      <c r="K185" s="13">
        <f>19.2%</f>
        <v>0.192</v>
      </c>
      <c r="L185" s="13">
        <f>66.2%</f>
        <v>0.66200000000000003</v>
      </c>
      <c r="M185" s="14">
        <f>60.25%+K185/2+L185/4-6.4%</f>
        <v>0.8</v>
      </c>
      <c r="N185" s="14">
        <f>60.25%*2+K185+L185/2+6.4%*2</f>
        <v>1.8559999999999999</v>
      </c>
      <c r="O185" s="13">
        <f>0.466+0.12+U185*0.15%+0.12*3+0.15</f>
        <v>1.216</v>
      </c>
      <c r="P185" s="9">
        <v>0.5</v>
      </c>
      <c r="Q185" s="9">
        <v>0.9</v>
      </c>
      <c r="R185" s="13">
        <v>1.7063999999999999</v>
      </c>
      <c r="S185" s="12" t="s">
        <v>233</v>
      </c>
      <c r="T185" s="10">
        <f>J185*R185*(1+O185)*(1+N185)*P185*Q185</f>
        <v>10476.866128124067</v>
      </c>
      <c r="U185" s="29">
        <f>80</f>
        <v>80</v>
      </c>
    </row>
    <row r="186" spans="1:21" s="5" customFormat="1" x14ac:dyDescent="0.25">
      <c r="A186" s="12" t="s">
        <v>230</v>
      </c>
      <c r="B186" s="12" t="s">
        <v>231</v>
      </c>
      <c r="C186" s="12" t="s">
        <v>216</v>
      </c>
      <c r="D186" s="7" t="s">
        <v>220</v>
      </c>
      <c r="E186" s="18" t="s">
        <v>131</v>
      </c>
      <c r="F186" s="9">
        <f>340</f>
        <v>340</v>
      </c>
      <c r="G186" s="9">
        <f>608</f>
        <v>608</v>
      </c>
      <c r="H186" s="10">
        <f>(F186+G186)*(1+0.3+0.466)+311</f>
        <v>1985.1680000000001</v>
      </c>
      <c r="I186" s="11">
        <v>160</v>
      </c>
      <c r="J186" s="28">
        <f>(F186+G186)*(1+0.3+0.466+0.14)+311</f>
        <v>2117.8879999999999</v>
      </c>
      <c r="K186" s="13">
        <f>19.2%</f>
        <v>0.192</v>
      </c>
      <c r="L186" s="13">
        <f>66.2%</f>
        <v>0.66200000000000003</v>
      </c>
      <c r="M186" s="14">
        <f>60.25%+K186/2+L186/4-6.4%</f>
        <v>0.8</v>
      </c>
      <c r="N186" s="14">
        <f>60.25%*2+K186+L186/2+6.4%*2</f>
        <v>1.8559999999999999</v>
      </c>
      <c r="O186" s="13">
        <f>0.466+0.12+U186*0.15%+0.12*3</f>
        <v>1.3360000000000001</v>
      </c>
      <c r="P186" s="9">
        <v>0.5</v>
      </c>
      <c r="Q186" s="9">
        <v>0.9</v>
      </c>
      <c r="R186" s="13">
        <v>1.7063999999999999</v>
      </c>
      <c r="S186" s="12" t="s">
        <v>233</v>
      </c>
      <c r="T186" s="10">
        <f>J186*R186*(1+O186)*(1+N186)*P186*Q186</f>
        <v>10849.941270406101</v>
      </c>
      <c r="U186" s="29">
        <f>80+80+100</f>
        <v>260</v>
      </c>
    </row>
    <row r="187" spans="1:21" s="5" customFormat="1" x14ac:dyDescent="0.25">
      <c r="A187" s="12" t="s">
        <v>230</v>
      </c>
      <c r="B187" s="12" t="s">
        <v>182</v>
      </c>
      <c r="C187" s="12" t="s">
        <v>232</v>
      </c>
      <c r="D187" s="7" t="s">
        <v>220</v>
      </c>
      <c r="E187" s="18" t="s">
        <v>131</v>
      </c>
      <c r="F187" s="9">
        <f>340</f>
        <v>340</v>
      </c>
      <c r="G187" s="9">
        <v>674</v>
      </c>
      <c r="H187" s="10">
        <f>(F187+G187)*(1+0.3+0.466+0.331+0.18)+311</f>
        <v>2619.8780000000002</v>
      </c>
      <c r="I187" s="11">
        <v>80</v>
      </c>
      <c r="J187" s="28">
        <f>(F187+G187)*(1+0.3+0.466+0.331+0.18)+311</f>
        <v>2619.8780000000002</v>
      </c>
      <c r="K187" s="13">
        <f>19.2%</f>
        <v>0.192</v>
      </c>
      <c r="L187" s="13">
        <f>0</f>
        <v>0</v>
      </c>
      <c r="M187" s="14">
        <f>60.25%+K187/2+L187/4</f>
        <v>0.69850000000000001</v>
      </c>
      <c r="N187" s="14">
        <f>60.25%*2+K187+L187/2</f>
        <v>1.397</v>
      </c>
      <c r="O187" s="13">
        <f>0.466+0.15+U187*0.15%</f>
        <v>0.73599999999999999</v>
      </c>
      <c r="P187" s="9">
        <v>0.5</v>
      </c>
      <c r="Q187" s="9">
        <v>0.9</v>
      </c>
      <c r="R187" s="13">
        <v>1.7063999999999999</v>
      </c>
      <c r="S187" s="12" t="s">
        <v>233</v>
      </c>
      <c r="T187" s="10">
        <f>J187*R187*(1+O187)*(1+N187)*P187*Q187</f>
        <v>8371.2859898294191</v>
      </c>
      <c r="U187" s="29">
        <f>80</f>
        <v>80</v>
      </c>
    </row>
    <row r="188" spans="1:21" s="5" customFormat="1" x14ac:dyDescent="0.25">
      <c r="A188" s="12" t="s">
        <v>230</v>
      </c>
      <c r="B188" s="12" t="s">
        <v>61</v>
      </c>
      <c r="C188" s="12" t="s">
        <v>232</v>
      </c>
      <c r="D188" s="7" t="s">
        <v>220</v>
      </c>
      <c r="E188" s="18" t="s">
        <v>131</v>
      </c>
      <c r="F188" s="9">
        <f>340</f>
        <v>340</v>
      </c>
      <c r="G188" s="9">
        <f>510</f>
        <v>510</v>
      </c>
      <c r="H188" s="10">
        <f>(F188+G188)*(1+0.3+0.466+0.18)+311</f>
        <v>1965.1</v>
      </c>
      <c r="I188" s="11">
        <v>80</v>
      </c>
      <c r="J188" s="28">
        <f>(F188+G188)*(1+0.3+0.466+1.2+0.18)+311</f>
        <v>2985.1000000000004</v>
      </c>
      <c r="K188" s="13">
        <f>19.2%</f>
        <v>0.192</v>
      </c>
      <c r="L188" s="13">
        <f>55.1%</f>
        <v>0.55100000000000005</v>
      </c>
      <c r="M188" s="14">
        <f>60.25%+K188/2+L188/4-3.63%</f>
        <v>0.79995000000000005</v>
      </c>
      <c r="N188" s="14">
        <f>60.25%*2+K188+L188/2+3.63%*2</f>
        <v>1.7451000000000001</v>
      </c>
      <c r="O188" s="13">
        <f>0.466+0.15+U188*0.15%</f>
        <v>0.73599999999999999</v>
      </c>
      <c r="P188" s="9">
        <v>0.5</v>
      </c>
      <c r="Q188" s="9">
        <v>0.9</v>
      </c>
      <c r="R188" s="13">
        <v>1.7063999999999999</v>
      </c>
      <c r="S188" s="12" t="s">
        <v>233</v>
      </c>
      <c r="T188" s="10">
        <f>J188*R188*(1+O188)*(1+N188)*P188*Q188</f>
        <v>10923.457701043038</v>
      </c>
      <c r="U188" s="29">
        <f>80</f>
        <v>80</v>
      </c>
    </row>
    <row r="189" spans="1:21" s="5" customForma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1:21" x14ac:dyDescent="0.25">
      <c r="A190" s="7" t="s">
        <v>9</v>
      </c>
      <c r="B190" s="7" t="s">
        <v>10</v>
      </c>
      <c r="C190" s="7" t="s">
        <v>11</v>
      </c>
      <c r="D190" s="7" t="s">
        <v>12</v>
      </c>
      <c r="E190" s="8" t="s">
        <v>13</v>
      </c>
      <c r="F190" s="9" t="s">
        <v>14</v>
      </c>
      <c r="G190" s="9" t="s">
        <v>15</v>
      </c>
      <c r="H190" s="10" t="s">
        <v>16</v>
      </c>
      <c r="I190" s="11" t="s">
        <v>39</v>
      </c>
      <c r="J190" s="15"/>
      <c r="K190" s="13" t="s">
        <v>19</v>
      </c>
      <c r="L190" s="13" t="s">
        <v>20</v>
      </c>
      <c r="M190" s="14" t="s">
        <v>21</v>
      </c>
      <c r="N190" s="14" t="s">
        <v>22</v>
      </c>
      <c r="O190" s="13" t="s">
        <v>23</v>
      </c>
      <c r="P190" s="9" t="s">
        <v>24</v>
      </c>
      <c r="Q190" s="9" t="s">
        <v>25</v>
      </c>
      <c r="R190" s="13" t="s">
        <v>26</v>
      </c>
      <c r="S190" s="7" t="s">
        <v>27</v>
      </c>
      <c r="T190" s="10" t="s">
        <v>28</v>
      </c>
    </row>
    <row r="191" spans="1:21" x14ac:dyDescent="0.25">
      <c r="A191" s="7" t="s">
        <v>234</v>
      </c>
      <c r="B191" s="7" t="s">
        <v>89</v>
      </c>
      <c r="C191" s="7" t="s">
        <v>90</v>
      </c>
      <c r="D191" s="7" t="s">
        <v>235</v>
      </c>
      <c r="E191" s="8" t="s">
        <v>218</v>
      </c>
      <c r="F191" s="9">
        <v>337</v>
      </c>
      <c r="G191" s="9">
        <v>608</v>
      </c>
      <c r="H191" s="10">
        <f>(F191+G191)*(1+0.3+0.28*(I191-1))+311</f>
        <v>2012.8694000000003</v>
      </c>
      <c r="I191" s="15">
        <f>1+0.32+0.2+0.551+0.518+0.2</f>
        <v>2.7890000000000006</v>
      </c>
      <c r="K191" s="13">
        <v>0</v>
      </c>
      <c r="L191" s="13">
        <v>0</v>
      </c>
      <c r="M191" s="14">
        <f>60.25%+K191/2+L191/4</f>
        <v>0.60250000000000004</v>
      </c>
      <c r="N191" s="14">
        <f>60.25%*2+K191+L191/2</f>
        <v>1.2050000000000001</v>
      </c>
      <c r="O191" s="13">
        <f>0.466+0.75+0.4*(I191+0.3-1)+0.3%*90</f>
        <v>2.3216000000000001</v>
      </c>
      <c r="P191" s="9">
        <f>0.5</f>
        <v>0.5</v>
      </c>
      <c r="Q191" s="9">
        <v>0.9</v>
      </c>
      <c r="R191" s="13">
        <f>721.44%+60*7%</f>
        <v>11.414400000000001</v>
      </c>
      <c r="S191" s="7" t="s">
        <v>236</v>
      </c>
      <c r="T191" s="10">
        <f>((F191+G191)*(1+0.2+0.28*(I191-1+0.3))+311)*R191*(1+N191)*(1+O191)*P191*Q191</f>
        <v>75155.805873511577</v>
      </c>
    </row>
    <row r="192" spans="1:21" x14ac:dyDescent="0.25">
      <c r="A192" s="7" t="s">
        <v>234</v>
      </c>
      <c r="B192" s="7" t="s">
        <v>95</v>
      </c>
      <c r="C192" s="7" t="s">
        <v>90</v>
      </c>
      <c r="D192" s="7" t="s">
        <v>237</v>
      </c>
      <c r="E192" s="8" t="s">
        <v>218</v>
      </c>
      <c r="F192" s="9">
        <v>337</v>
      </c>
      <c r="G192" s="9">
        <v>510</v>
      </c>
      <c r="H192" s="10">
        <f>(F192+G192)*(1+0.3+0.466)+311</f>
        <v>1806.8019999999999</v>
      </c>
      <c r="I192" s="15">
        <f>1+0.32+0.2+0.459+0.518+0.2</f>
        <v>2.6970000000000001</v>
      </c>
      <c r="K192" s="13">
        <v>0.12</v>
      </c>
      <c r="L192" s="13">
        <v>0</v>
      </c>
      <c r="M192" s="14">
        <f>60.25%+K192/2+L192/4-12%</f>
        <v>0.54250000000000009</v>
      </c>
      <c r="N192" s="14">
        <f>60.25%*2+K192+L192/2</f>
        <v>1.3250000000000002</v>
      </c>
      <c r="O192" s="13">
        <f>0.25*(I192)+0.4*(I192-1)+0.3%*90+0.32</f>
        <v>1.9430500000000002</v>
      </c>
      <c r="P192" s="9">
        <v>0.5</v>
      </c>
      <c r="Q192" s="9">
        <v>0.9</v>
      </c>
      <c r="R192" s="13">
        <f>721.44%+60*7%</f>
        <v>11.414400000000001</v>
      </c>
      <c r="S192" s="7" t="s">
        <v>236</v>
      </c>
      <c r="T192" s="10">
        <f>H192*R192*(1+N192)*(1+O192)*P192*Q192</f>
        <v>63503.368345612056</v>
      </c>
    </row>
    <row r="193" spans="1:20" x14ac:dyDescent="0.25">
      <c r="I193" s="15"/>
    </row>
    <row r="194" spans="1:20" x14ac:dyDescent="0.25">
      <c r="A194" s="7" t="s">
        <v>9</v>
      </c>
      <c r="B194" s="7" t="s">
        <v>10</v>
      </c>
      <c r="C194" s="7" t="s">
        <v>11</v>
      </c>
      <c r="D194" s="7" t="s">
        <v>12</v>
      </c>
      <c r="E194" s="8" t="s">
        <v>13</v>
      </c>
      <c r="F194" s="9" t="s">
        <v>14</v>
      </c>
      <c r="G194" s="9" t="s">
        <v>15</v>
      </c>
      <c r="H194" s="10" t="s">
        <v>16</v>
      </c>
      <c r="I194" s="15" t="s">
        <v>39</v>
      </c>
      <c r="J194" s="15"/>
      <c r="K194" s="13" t="s">
        <v>19</v>
      </c>
      <c r="L194" s="13" t="s">
        <v>20</v>
      </c>
      <c r="M194" s="14" t="s">
        <v>21</v>
      </c>
      <c r="N194" s="14" t="s">
        <v>22</v>
      </c>
      <c r="O194" s="13" t="s">
        <v>23</v>
      </c>
      <c r="P194" s="9" t="s">
        <v>24</v>
      </c>
      <c r="Q194" s="9" t="s">
        <v>25</v>
      </c>
      <c r="R194" s="13" t="s">
        <v>26</v>
      </c>
      <c r="S194" s="7" t="s">
        <v>27</v>
      </c>
      <c r="T194" s="10" t="s">
        <v>28</v>
      </c>
    </row>
    <row r="195" spans="1:20" x14ac:dyDescent="0.25">
      <c r="A195" s="7" t="s">
        <v>238</v>
      </c>
      <c r="B195" s="7" t="s">
        <v>154</v>
      </c>
      <c r="C195" s="7" t="s">
        <v>90</v>
      </c>
      <c r="D195" s="7" t="s">
        <v>235</v>
      </c>
      <c r="E195" s="8" t="s">
        <v>239</v>
      </c>
      <c r="F195" s="9">
        <v>195</v>
      </c>
      <c r="G195" s="9">
        <v>674</v>
      </c>
      <c r="H195" s="10">
        <f>(G195+F195)*(1+0.3+0.24)+311</f>
        <v>1649.26</v>
      </c>
      <c r="I195" s="15">
        <f>1+0.2+0.518+0.2</f>
        <v>1.9179999999999999</v>
      </c>
      <c r="K195" s="13">
        <v>0.221</v>
      </c>
      <c r="L195" s="13">
        <v>0.2</v>
      </c>
      <c r="M195" s="14">
        <v>0.8</v>
      </c>
      <c r="N195" s="14">
        <f>60.25%*2+K195+L195/2-3.7%*2</f>
        <v>1.4520000000000002</v>
      </c>
      <c r="O195" s="13">
        <f>0.466+0.25*I195</f>
        <v>0.94550000000000001</v>
      </c>
      <c r="P195" s="9">
        <v>0.5</v>
      </c>
      <c r="Q195" s="9">
        <v>0.9</v>
      </c>
      <c r="R195" s="13">
        <v>8.1920000000000002</v>
      </c>
      <c r="S195" s="7" t="s">
        <v>240</v>
      </c>
      <c r="T195" s="10">
        <f>((1+0.2+0.24+0.9129)*(F195+G195)+311)*R195*(1+O195)*(1+N195+0.6)*P195*Q195</f>
        <v>51562.348683214601</v>
      </c>
    </row>
    <row r="196" spans="1:20" x14ac:dyDescent="0.25">
      <c r="A196" s="7" t="s">
        <v>238</v>
      </c>
      <c r="B196" s="7" t="s">
        <v>241</v>
      </c>
      <c r="C196" s="7" t="s">
        <v>90</v>
      </c>
      <c r="D196" s="7" t="s">
        <v>235</v>
      </c>
      <c r="E196" s="8" t="s">
        <v>239</v>
      </c>
      <c r="F196" s="9">
        <v>195</v>
      </c>
      <c r="G196" s="9">
        <v>565</v>
      </c>
      <c r="H196" s="10">
        <f>(G196+F196)*(1+0.3+0.24)+311</f>
        <v>1481.4</v>
      </c>
      <c r="I196" s="15">
        <f>1+0.2+0.518+0.2+0.306</f>
        <v>2.2239999999999998</v>
      </c>
      <c r="K196" s="13">
        <v>0</v>
      </c>
      <c r="L196" s="13">
        <v>0</v>
      </c>
      <c r="M196" s="14">
        <v>0.7</v>
      </c>
      <c r="N196" s="14">
        <f>60.25%*2+K196+L196/2-9.75%*2</f>
        <v>1.01</v>
      </c>
      <c r="O196" s="13">
        <f>0.466+0.25*I196</f>
        <v>1.022</v>
      </c>
      <c r="P196" s="9">
        <v>0.5</v>
      </c>
      <c r="Q196" s="9">
        <v>0.9</v>
      </c>
      <c r="R196" s="13">
        <v>8.1920000000000002</v>
      </c>
      <c r="S196" s="7" t="s">
        <v>240</v>
      </c>
      <c r="T196" s="10">
        <f>((1+0.2+0.24+0.9129)*(F196+G196)+311)*R196*(1+O196)*(1+N196+0.6)*P196*Q196</f>
        <v>40839.344358653958</v>
      </c>
    </row>
    <row r="198" spans="1:20" x14ac:dyDescent="0.25">
      <c r="A198" s="7" t="s">
        <v>9</v>
      </c>
      <c r="B198" s="7" t="s">
        <v>10</v>
      </c>
      <c r="C198" s="7" t="s">
        <v>11</v>
      </c>
      <c r="D198" s="7" t="s">
        <v>12</v>
      </c>
      <c r="E198" s="8" t="s">
        <v>13</v>
      </c>
      <c r="F198" s="9" t="s">
        <v>14</v>
      </c>
      <c r="G198" s="9" t="s">
        <v>15</v>
      </c>
      <c r="H198" s="10" t="s">
        <v>16</v>
      </c>
      <c r="I198" s="11" t="s">
        <v>18</v>
      </c>
      <c r="J198" s="15"/>
      <c r="K198" s="13" t="s">
        <v>19</v>
      </c>
      <c r="L198" s="13" t="s">
        <v>20</v>
      </c>
      <c r="M198" s="14" t="s">
        <v>21</v>
      </c>
      <c r="N198" s="14" t="s">
        <v>22</v>
      </c>
      <c r="O198" s="13" t="s">
        <v>23</v>
      </c>
      <c r="P198" s="9" t="s">
        <v>24</v>
      </c>
      <c r="Q198" s="9" t="s">
        <v>25</v>
      </c>
      <c r="R198" s="13" t="s">
        <v>26</v>
      </c>
      <c r="S198" s="7" t="s">
        <v>27</v>
      </c>
      <c r="T198" s="10" t="s">
        <v>28</v>
      </c>
    </row>
    <row r="199" spans="1:20" x14ac:dyDescent="0.25">
      <c r="A199" s="7" t="s">
        <v>242</v>
      </c>
      <c r="B199" s="7" t="s">
        <v>243</v>
      </c>
      <c r="C199" s="12" t="s">
        <v>221</v>
      </c>
      <c r="D199" s="7" t="s">
        <v>220</v>
      </c>
      <c r="E199" s="8" t="s">
        <v>199</v>
      </c>
      <c r="F199" s="9">
        <v>323</v>
      </c>
      <c r="G199" s="9">
        <v>674</v>
      </c>
      <c r="H199" s="10">
        <f>(F199+G199)*(1+0.3+0.466)+311</f>
        <v>2071.7020000000002</v>
      </c>
      <c r="I199" s="11">
        <v>80</v>
      </c>
      <c r="K199" s="13">
        <f>15%</f>
        <v>0.15</v>
      </c>
      <c r="L199" s="13">
        <f>44.1%+38.4%</f>
        <v>0.82499999999999996</v>
      </c>
      <c r="M199" s="14">
        <f>60.25%+K199/2+L199/4-15%</f>
        <v>0.73375000000000001</v>
      </c>
      <c r="N199" s="14">
        <f>60.25%*2+K199+L199/2</f>
        <v>1.7675000000000001</v>
      </c>
      <c r="O199" s="13">
        <f>0.466+0.15+0.4</f>
        <v>1.016</v>
      </c>
      <c r="P199" s="9">
        <v>0.5</v>
      </c>
      <c r="Q199" s="9">
        <v>0.9</v>
      </c>
      <c r="R199" s="13">
        <f>170%</f>
        <v>1.7</v>
      </c>
      <c r="S199" s="7" t="s">
        <v>244</v>
      </c>
      <c r="T199" s="10">
        <f>H199*R199*(1+O199)*(1+N199)*P199*Q199</f>
        <v>8842.3332339384015</v>
      </c>
    </row>
    <row r="200" spans="1:20" x14ac:dyDescent="0.25">
      <c r="A200" s="7" t="s">
        <v>242</v>
      </c>
      <c r="B200" s="7" t="s">
        <v>110</v>
      </c>
      <c r="C200" s="12" t="s">
        <v>221</v>
      </c>
      <c r="D200" s="7" t="s">
        <v>220</v>
      </c>
      <c r="E200" s="8" t="s">
        <v>199</v>
      </c>
      <c r="F200" s="9">
        <v>323</v>
      </c>
      <c r="G200" s="9">
        <v>542</v>
      </c>
      <c r="H200" s="10">
        <f>(F200+G200)*(1+0.3+0.466)+311+1.2%*(13103*(1+0.2+0.2)+4780)</f>
        <v>2116.0803999999998</v>
      </c>
      <c r="I200" s="11">
        <v>80</v>
      </c>
      <c r="K200" s="13">
        <f>0.15+0.441</f>
        <v>0.59099999999999997</v>
      </c>
      <c r="L200" s="13">
        <v>0.38400000000000001</v>
      </c>
      <c r="M200" s="14">
        <v>0.75</v>
      </c>
      <c r="N200" s="14">
        <f>60.25%*2+K200+L200/2+9.4%*2</f>
        <v>2.1760000000000002</v>
      </c>
      <c r="O200" s="13">
        <f>0.466+0.15</f>
        <v>0.61599999999999999</v>
      </c>
      <c r="P200" s="9">
        <v>0.5</v>
      </c>
      <c r="Q200" s="9">
        <v>0.9</v>
      </c>
      <c r="R200" s="13">
        <f>170%</f>
        <v>1.7</v>
      </c>
      <c r="S200" s="7" t="s">
        <v>244</v>
      </c>
      <c r="T200" s="10">
        <f>H200*R200*(1+O200)*(1+N200)*P200*Q200</f>
        <v>8308.3627502184954</v>
      </c>
    </row>
    <row r="201" spans="1:20" x14ac:dyDescent="0.25">
      <c r="A201" s="7" t="s">
        <v>242</v>
      </c>
      <c r="B201" s="7" t="s">
        <v>245</v>
      </c>
      <c r="C201" s="12" t="s">
        <v>221</v>
      </c>
      <c r="D201" s="7" t="s">
        <v>220</v>
      </c>
      <c r="E201" s="8" t="s">
        <v>199</v>
      </c>
      <c r="F201" s="9">
        <v>323</v>
      </c>
      <c r="G201" s="9">
        <v>510</v>
      </c>
      <c r="H201" s="10">
        <f>(F201+G201)*(1+0.3+0.466+0.413)+311</f>
        <v>2126.107</v>
      </c>
      <c r="I201" s="11">
        <v>80</v>
      </c>
      <c r="K201" s="13">
        <v>0.15</v>
      </c>
      <c r="L201" s="13">
        <v>0.38400000000000001</v>
      </c>
      <c r="M201" s="14">
        <f>60.25%+K201/2+L201/4-15%</f>
        <v>0.62349999999999994</v>
      </c>
      <c r="N201" s="14">
        <f>60.25%*2+K201+L201/2</f>
        <v>1.5469999999999999</v>
      </c>
      <c r="O201" s="13">
        <f>0.466+0.15+0.36</f>
        <v>0.97599999999999998</v>
      </c>
      <c r="P201" s="9">
        <v>0.5</v>
      </c>
      <c r="Q201" s="9">
        <v>0.9</v>
      </c>
      <c r="R201" s="13">
        <f>170%</f>
        <v>1.7</v>
      </c>
      <c r="S201" s="7" t="s">
        <v>244</v>
      </c>
      <c r="T201" s="10">
        <f>H201*R201*(1+O201)*(1+N201)*P201*Q201</f>
        <v>8185.8246578175585</v>
      </c>
    </row>
    <row r="203" spans="1:20" x14ac:dyDescent="0.25">
      <c r="A203" s="7" t="s">
        <v>9</v>
      </c>
      <c r="B203" s="7" t="s">
        <v>10</v>
      </c>
      <c r="C203" s="7" t="s">
        <v>11</v>
      </c>
      <c r="D203" s="7" t="s">
        <v>12</v>
      </c>
      <c r="E203" s="8" t="s">
        <v>13</v>
      </c>
      <c r="F203" s="9" t="s">
        <v>14</v>
      </c>
      <c r="G203" s="9" t="s">
        <v>15</v>
      </c>
      <c r="H203" s="10" t="s">
        <v>16</v>
      </c>
      <c r="J203" s="15"/>
      <c r="K203" s="13" t="s">
        <v>19</v>
      </c>
      <c r="L203" s="13" t="s">
        <v>20</v>
      </c>
      <c r="M203" s="14" t="s">
        <v>21</v>
      </c>
      <c r="N203" s="14" t="s">
        <v>22</v>
      </c>
      <c r="O203" s="13" t="s">
        <v>23</v>
      </c>
      <c r="P203" s="9" t="s">
        <v>24</v>
      </c>
      <c r="Q203" s="9" t="s">
        <v>25</v>
      </c>
      <c r="R203" s="13" t="s">
        <v>26</v>
      </c>
      <c r="S203" s="7" t="s">
        <v>27</v>
      </c>
      <c r="T203" s="10" t="s">
        <v>28</v>
      </c>
    </row>
    <row r="204" spans="1:20" x14ac:dyDescent="0.25">
      <c r="A204" s="7" t="s">
        <v>246</v>
      </c>
      <c r="B204" s="7" t="s">
        <v>67</v>
      </c>
      <c r="C204" s="7" t="s">
        <v>247</v>
      </c>
      <c r="D204" s="7" t="s">
        <v>72</v>
      </c>
      <c r="E204" s="8" t="s">
        <v>84</v>
      </c>
      <c r="F204" s="9">
        <v>234</v>
      </c>
      <c r="G204" s="9">
        <v>510</v>
      </c>
      <c r="H204" s="10">
        <f>(F204+G204)*(1+0.3+0.466+0.18)+311</f>
        <v>1758.8240000000001</v>
      </c>
      <c r="K204" s="13">
        <v>0.27600000000000002</v>
      </c>
      <c r="L204" s="13">
        <v>0</v>
      </c>
      <c r="M204" s="14">
        <f>60.25%+K204/2+L204/4</f>
        <v>0.74050000000000005</v>
      </c>
      <c r="N204" s="14">
        <f>60.25%*2+K204+L204/2</f>
        <v>1.4810000000000001</v>
      </c>
      <c r="O204" s="13">
        <f>0.583+0.35+0.3+0.5+0.1</f>
        <v>1.833</v>
      </c>
      <c r="P204" s="9">
        <f>190/(190*(1-0.15)+190)</f>
        <v>0.54054054054054057</v>
      </c>
      <c r="Q204" s="9">
        <v>0.9</v>
      </c>
      <c r="R204" s="13">
        <v>1.7113</v>
      </c>
      <c r="S204" s="7" t="s">
        <v>248</v>
      </c>
      <c r="T204" s="10">
        <f>H204*R204*(1+O204)*(1+N204)*P204*Q204</f>
        <v>10291.831170291554</v>
      </c>
    </row>
    <row r="205" spans="1:20" x14ac:dyDescent="0.25">
      <c r="A205" s="7" t="s">
        <v>246</v>
      </c>
      <c r="B205" s="7" t="s">
        <v>65</v>
      </c>
      <c r="C205" s="7" t="s">
        <v>247</v>
      </c>
      <c r="D205" s="7" t="s">
        <v>72</v>
      </c>
      <c r="E205" s="8" t="s">
        <v>84</v>
      </c>
      <c r="F205" s="9">
        <v>234</v>
      </c>
      <c r="G205" s="9">
        <v>608</v>
      </c>
      <c r="H205" s="10">
        <f>(F205+G205)*(1+0.3+0.466+0.18+0.496+0.2)+311</f>
        <v>2535.5640000000003</v>
      </c>
      <c r="K205" s="13">
        <v>0</v>
      </c>
      <c r="L205" s="13">
        <v>0</v>
      </c>
      <c r="M205" s="14">
        <f>60.25%+K205/2+L205/4</f>
        <v>0.60250000000000004</v>
      </c>
      <c r="N205" s="14">
        <f>60.25%*2+K205+L205/2</f>
        <v>1.2050000000000001</v>
      </c>
      <c r="O205" s="13">
        <f>0.583+0.35+0.3+0.1</f>
        <v>1.333</v>
      </c>
      <c r="P205" s="9">
        <f>190/(190*(1-0.15)+190)</f>
        <v>0.54054054054054057</v>
      </c>
      <c r="Q205" s="9">
        <v>0.9</v>
      </c>
      <c r="R205" s="13">
        <v>1.7113</v>
      </c>
      <c r="S205" s="7" t="s">
        <v>248</v>
      </c>
      <c r="T205" s="10">
        <f>H205*R205*(1+O205)*(1+N205)*P205*Q205</f>
        <v>10859.125216509341</v>
      </c>
    </row>
    <row r="207" spans="1:20" x14ac:dyDescent="0.25">
      <c r="A207" s="7" t="s">
        <v>9</v>
      </c>
      <c r="B207" s="7" t="s">
        <v>10</v>
      </c>
      <c r="C207" s="7" t="s">
        <v>11</v>
      </c>
      <c r="D207" s="7" t="s">
        <v>12</v>
      </c>
      <c r="E207" s="8" t="s">
        <v>13</v>
      </c>
      <c r="F207" s="9" t="s">
        <v>14</v>
      </c>
      <c r="G207" s="9" t="s">
        <v>15</v>
      </c>
      <c r="H207" s="10" t="s">
        <v>16</v>
      </c>
      <c r="J207" s="15" t="s">
        <v>18</v>
      </c>
      <c r="K207" s="13" t="s">
        <v>19</v>
      </c>
      <c r="L207" s="13" t="s">
        <v>20</v>
      </c>
      <c r="M207" s="14" t="s">
        <v>21</v>
      </c>
      <c r="N207" s="14" t="s">
        <v>22</v>
      </c>
      <c r="O207" s="13" t="s">
        <v>23</v>
      </c>
      <c r="P207" s="9" t="s">
        <v>24</v>
      </c>
      <c r="Q207" s="9" t="s">
        <v>25</v>
      </c>
      <c r="R207" s="13" t="s">
        <v>26</v>
      </c>
      <c r="S207" s="7" t="s">
        <v>27</v>
      </c>
      <c r="T207" s="10" t="s">
        <v>28</v>
      </c>
    </row>
    <row r="208" spans="1:20" x14ac:dyDescent="0.25">
      <c r="A208" s="7" t="s">
        <v>249</v>
      </c>
      <c r="B208" s="7" t="s">
        <v>202</v>
      </c>
      <c r="C208" s="7" t="s">
        <v>232</v>
      </c>
      <c r="D208" s="7" t="s">
        <v>220</v>
      </c>
      <c r="E208" s="8" t="s">
        <v>250</v>
      </c>
      <c r="F208" s="9">
        <v>244</v>
      </c>
      <c r="G208" s="9">
        <v>510</v>
      </c>
      <c r="H208" s="10">
        <f>(F208+G208)*(1+0.3+0.466+0.18+0.24)+311</f>
        <v>1959.2439999999999</v>
      </c>
      <c r="J208" s="12">
        <f>80+165</f>
        <v>245</v>
      </c>
      <c r="K208" s="13">
        <v>0</v>
      </c>
      <c r="L208" s="13">
        <v>0</v>
      </c>
      <c r="M208" s="14">
        <f>60.25%+K208/2+L208/4</f>
        <v>0.60250000000000004</v>
      </c>
      <c r="N208" s="14">
        <f>60.25%*2+K208+L208/2</f>
        <v>1.2050000000000001</v>
      </c>
      <c r="O208" s="13">
        <f>0.466+0.15+0.48</f>
        <v>1.0960000000000001</v>
      </c>
      <c r="P208" s="9">
        <f>190/(190*(1)+190)</f>
        <v>0.5</v>
      </c>
      <c r="Q208" s="9">
        <v>0.9</v>
      </c>
      <c r="R208" s="13">
        <v>1.8869999999999998</v>
      </c>
      <c r="S208" s="7" t="s">
        <v>251</v>
      </c>
      <c r="T208" s="10">
        <f>H208*R208*(1+O208)*(1+N208)*P208*Q208</f>
        <v>7689.0522394435684</v>
      </c>
    </row>
    <row r="209" spans="1:21" x14ac:dyDescent="0.25">
      <c r="A209" s="7" t="s">
        <v>249</v>
      </c>
      <c r="B209" s="7" t="s">
        <v>154</v>
      </c>
      <c r="C209" s="7" t="s">
        <v>232</v>
      </c>
      <c r="D209" s="7" t="s">
        <v>220</v>
      </c>
      <c r="E209" s="8" t="s">
        <v>250</v>
      </c>
      <c r="F209" s="9">
        <v>244</v>
      </c>
      <c r="G209" s="9">
        <v>674</v>
      </c>
      <c r="H209" s="10">
        <f>(F209+G209)*(1+0.3+0.466+0.18+0.24)+311</f>
        <v>2317.748</v>
      </c>
      <c r="J209" s="12">
        <v>80</v>
      </c>
      <c r="K209" s="13">
        <v>0.221</v>
      </c>
      <c r="L209" s="13">
        <v>0.2</v>
      </c>
      <c r="M209" s="14">
        <f>60.25%+K209/2+L209/4</f>
        <v>0.76300000000000012</v>
      </c>
      <c r="N209" s="14">
        <f>60.25%*2+K209+L209/2</f>
        <v>1.5260000000000002</v>
      </c>
      <c r="O209" s="13">
        <f>0.466+0.15</f>
        <v>0.61599999999999999</v>
      </c>
      <c r="P209" s="9">
        <f>190/(190*(1)+190)</f>
        <v>0.5</v>
      </c>
      <c r="Q209" s="9">
        <v>0.9</v>
      </c>
      <c r="R209" s="13">
        <v>1.8869999999999998</v>
      </c>
      <c r="S209" s="7" t="s">
        <v>251</v>
      </c>
      <c r="T209" s="10">
        <f>H209*R209*(1+O209)*(1+N209)*P209*Q209</f>
        <v>8033.8798352158274</v>
      </c>
    </row>
    <row r="210" spans="1:21" x14ac:dyDescent="0.25">
      <c r="C210" s="12"/>
      <c r="I210" s="28"/>
    </row>
    <row r="211" spans="1:21" x14ac:dyDescent="0.25">
      <c r="A211" s="7" t="s">
        <v>9</v>
      </c>
      <c r="B211" s="7" t="s">
        <v>10</v>
      </c>
      <c r="C211" s="7" t="s">
        <v>11</v>
      </c>
      <c r="D211" s="7" t="s">
        <v>12</v>
      </c>
      <c r="E211" s="8" t="s">
        <v>13</v>
      </c>
      <c r="F211" s="9" t="s">
        <v>14</v>
      </c>
      <c r="G211" s="9" t="s">
        <v>15</v>
      </c>
      <c r="H211" s="10" t="s">
        <v>16</v>
      </c>
      <c r="I211" s="11" t="s">
        <v>18</v>
      </c>
      <c r="J211" s="15"/>
      <c r="K211" s="13" t="s">
        <v>19</v>
      </c>
      <c r="L211" s="13" t="s">
        <v>20</v>
      </c>
      <c r="M211" s="14" t="s">
        <v>21</v>
      </c>
      <c r="N211" s="14" t="s">
        <v>22</v>
      </c>
      <c r="O211" s="13" t="s">
        <v>23</v>
      </c>
      <c r="P211" s="9" t="s">
        <v>24</v>
      </c>
      <c r="Q211" s="9" t="s">
        <v>25</v>
      </c>
      <c r="R211" s="13" t="s">
        <v>26</v>
      </c>
      <c r="S211" s="7" t="s">
        <v>27</v>
      </c>
      <c r="T211" s="10" t="s">
        <v>28</v>
      </c>
    </row>
    <row r="212" spans="1:21" x14ac:dyDescent="0.25">
      <c r="A212" s="7" t="s">
        <v>252</v>
      </c>
      <c r="B212" s="7" t="s">
        <v>57</v>
      </c>
      <c r="C212" s="7" t="s">
        <v>253</v>
      </c>
      <c r="D212" s="7" t="s">
        <v>220</v>
      </c>
      <c r="E212" s="8" t="s">
        <v>254</v>
      </c>
      <c r="F212" s="9">
        <v>232</v>
      </c>
      <c r="G212" s="9">
        <v>608</v>
      </c>
      <c r="H212" s="10">
        <f>(F212+G212)*(1+0.3+0.466+0.18)+311</f>
        <v>1945.6399999999999</v>
      </c>
      <c r="I212" s="11">
        <f>96+80</f>
        <v>176</v>
      </c>
      <c r="K212" s="13">
        <v>0.33100000000000002</v>
      </c>
      <c r="L212" s="13">
        <v>0</v>
      </c>
      <c r="M212" s="14">
        <f t="shared" ref="M212:M217" si="25">60.25%+K212/2+L212/4</f>
        <v>0.76800000000000002</v>
      </c>
      <c r="N212" s="14">
        <f>60.25%*2+K212+L212/2</f>
        <v>1.536</v>
      </c>
      <c r="O212" s="13">
        <f>0.466+0.32+0.15</f>
        <v>0.93600000000000005</v>
      </c>
      <c r="P212" s="9">
        <f>190/(190*(1-0.15)+190)</f>
        <v>0.54054054054054057</v>
      </c>
      <c r="Q212" s="9">
        <v>0.9</v>
      </c>
      <c r="R212" s="13">
        <v>10.353</v>
      </c>
      <c r="S212" s="7" t="s">
        <v>255</v>
      </c>
      <c r="T212" s="10">
        <f>H212*R212*(1+O212)*(1+N212)*P212*Q212</f>
        <v>48112.074525930962</v>
      </c>
    </row>
    <row r="213" spans="1:21" x14ac:dyDescent="0.25">
      <c r="A213" s="7" t="s">
        <v>252</v>
      </c>
      <c r="B213" s="7" t="s">
        <v>61</v>
      </c>
      <c r="C213" s="7" t="s">
        <v>83</v>
      </c>
      <c r="D213" s="7" t="s">
        <v>220</v>
      </c>
      <c r="E213" s="8" t="s">
        <v>256</v>
      </c>
      <c r="F213" s="9">
        <v>232</v>
      </c>
      <c r="G213" s="9">
        <v>510</v>
      </c>
      <c r="H213" s="10">
        <f>(F213+G213)*(1+0.3+0.466)+311</f>
        <v>1621.3720000000001</v>
      </c>
      <c r="I213" s="11">
        <f>96+80</f>
        <v>176</v>
      </c>
      <c r="K213" s="13">
        <v>0</v>
      </c>
      <c r="L213" s="13">
        <v>0.55100000000000005</v>
      </c>
      <c r="M213" s="14">
        <f t="shared" si="25"/>
        <v>0.74025000000000007</v>
      </c>
      <c r="N213" s="14">
        <f>60.25%*2+K213+L213/2</f>
        <v>1.4805000000000001</v>
      </c>
      <c r="O213" s="13">
        <f>0.466+0.2</f>
        <v>0.66600000000000004</v>
      </c>
      <c r="P213" s="9">
        <f>190/(190*(1-0.15)+190)</f>
        <v>0.54054054054054057</v>
      </c>
      <c r="Q213" s="9">
        <v>0.9</v>
      </c>
      <c r="R213" s="13">
        <v>0.77689999999999992</v>
      </c>
      <c r="S213" s="7" t="s">
        <v>257</v>
      </c>
      <c r="T213" s="10">
        <f>((F213+G213)*(1+0.3+0.466+1.2)+311)*R213*(1+O213)*(1+N213)*P213*Q213</f>
        <v>3923.1087378784878</v>
      </c>
    </row>
    <row r="215" spans="1:21" x14ac:dyDescent="0.25">
      <c r="A215" s="7" t="s">
        <v>9</v>
      </c>
      <c r="B215" s="7" t="s">
        <v>10</v>
      </c>
      <c r="C215" s="7" t="s">
        <v>11</v>
      </c>
      <c r="D215" s="7" t="s">
        <v>12</v>
      </c>
      <c r="E215" s="8" t="s">
        <v>13</v>
      </c>
      <c r="F215" s="9" t="s">
        <v>14</v>
      </c>
      <c r="G215" s="9" t="s">
        <v>15</v>
      </c>
      <c r="H215" s="10" t="s">
        <v>16</v>
      </c>
      <c r="I215" s="11" t="s">
        <v>39</v>
      </c>
      <c r="J215" s="15"/>
      <c r="K215" s="13" t="s">
        <v>19</v>
      </c>
      <c r="L215" s="13" t="s">
        <v>20</v>
      </c>
      <c r="M215" s="14" t="s">
        <v>21</v>
      </c>
      <c r="N215" s="14" t="s">
        <v>22</v>
      </c>
      <c r="O215" s="13" t="s">
        <v>23</v>
      </c>
      <c r="P215" s="9" t="s">
        <v>24</v>
      </c>
      <c r="Q215" s="9" t="s">
        <v>25</v>
      </c>
      <c r="R215" s="13" t="s">
        <v>26</v>
      </c>
      <c r="S215" s="7" t="s">
        <v>27</v>
      </c>
      <c r="T215" s="10" t="s">
        <v>28</v>
      </c>
    </row>
    <row r="216" spans="1:21" x14ac:dyDescent="0.25">
      <c r="A216" s="7" t="s">
        <v>258</v>
      </c>
      <c r="B216" s="7" t="s">
        <v>65</v>
      </c>
      <c r="C216" s="7" t="s">
        <v>90</v>
      </c>
      <c r="D216" s="7" t="s">
        <v>235</v>
      </c>
      <c r="E216" s="8" t="s">
        <v>179</v>
      </c>
      <c r="F216" s="9">
        <v>225</v>
      </c>
      <c r="G216" s="9">
        <v>608</v>
      </c>
      <c r="H216" s="10">
        <f>(G216+F216)*(1+0.3+0.2+0.496)+311</f>
        <v>1973.6679999999999</v>
      </c>
      <c r="I216" s="15">
        <f>1+0.2+0.518+0.2</f>
        <v>1.9179999999999999</v>
      </c>
      <c r="K216" s="13">
        <v>0</v>
      </c>
      <c r="L216" s="13">
        <v>0</v>
      </c>
      <c r="M216" s="14">
        <f t="shared" si="25"/>
        <v>0.60250000000000004</v>
      </c>
      <c r="N216" s="14">
        <f>60.25%*2+K216+L216/2</f>
        <v>1.2050000000000001</v>
      </c>
      <c r="O216" s="13">
        <f>0.466+0.25*I216+0.24</f>
        <v>1.1855</v>
      </c>
      <c r="P216" s="9">
        <v>0.5</v>
      </c>
      <c r="Q216" s="9">
        <v>1.0249999999999999</v>
      </c>
      <c r="R216" s="13">
        <v>1.7280000000000002</v>
      </c>
      <c r="S216" s="7" t="s">
        <v>259</v>
      </c>
      <c r="T216" s="10">
        <f>H216*R216*(1+O216)*(1+N216)*P216*Q216</f>
        <v>8423.0836217856722</v>
      </c>
    </row>
    <row r="217" spans="1:21" x14ac:dyDescent="0.25">
      <c r="A217" s="7" t="s">
        <v>258</v>
      </c>
      <c r="B217" s="7" t="s">
        <v>67</v>
      </c>
      <c r="C217" s="7" t="s">
        <v>90</v>
      </c>
      <c r="D217" s="7" t="s">
        <v>237</v>
      </c>
      <c r="E217" s="8" t="s">
        <v>179</v>
      </c>
      <c r="F217" s="9">
        <v>225</v>
      </c>
      <c r="G217" s="9">
        <v>510</v>
      </c>
      <c r="H217" s="10">
        <f>(G217+F217)*(1+0.3+0.466*1)+311</f>
        <v>1609.01</v>
      </c>
      <c r="I217" s="15">
        <f>1+0.2+0.518+0.2</f>
        <v>1.9179999999999999</v>
      </c>
      <c r="K217" s="13">
        <v>0.27600000000000002</v>
      </c>
      <c r="L217" s="13">
        <v>0</v>
      </c>
      <c r="M217" s="14">
        <f t="shared" si="25"/>
        <v>0.74050000000000005</v>
      </c>
      <c r="N217" s="14">
        <f>60.25%*2+K217+L217/2</f>
        <v>1.4810000000000001</v>
      </c>
      <c r="O217" s="13">
        <f>0.4+0.25*I217+0.24</f>
        <v>1.1194999999999999</v>
      </c>
      <c r="P217" s="9">
        <v>0.5</v>
      </c>
      <c r="Q217" s="9">
        <v>1.0249999999999999</v>
      </c>
      <c r="R217" s="13">
        <v>1.7280000000000002</v>
      </c>
      <c r="S217" s="7" t="s">
        <v>259</v>
      </c>
      <c r="T217" s="10">
        <f>H217*R217*(1+O217)*(1+N217)*P217*Q217</f>
        <v>7493.0138664212509</v>
      </c>
    </row>
    <row r="219" spans="1:21" x14ac:dyDescent="0.25">
      <c r="A219" s="7" t="s">
        <v>9</v>
      </c>
      <c r="B219" s="7" t="s">
        <v>10</v>
      </c>
      <c r="C219" s="7" t="s">
        <v>11</v>
      </c>
      <c r="D219" s="7" t="s">
        <v>12</v>
      </c>
      <c r="E219" s="8" t="s">
        <v>13</v>
      </c>
      <c r="F219" s="9" t="s">
        <v>14</v>
      </c>
      <c r="G219" s="9" t="s">
        <v>15</v>
      </c>
      <c r="H219" s="10" t="s">
        <v>16</v>
      </c>
      <c r="I219" s="11" t="s">
        <v>39</v>
      </c>
      <c r="J219" s="15"/>
      <c r="K219" s="13" t="s">
        <v>19</v>
      </c>
      <c r="L219" s="13" t="s">
        <v>20</v>
      </c>
      <c r="M219" s="14" t="s">
        <v>21</v>
      </c>
      <c r="N219" s="14" t="s">
        <v>22</v>
      </c>
      <c r="O219" s="13" t="s">
        <v>23</v>
      </c>
      <c r="P219" s="9" t="s">
        <v>24</v>
      </c>
      <c r="Q219" s="9" t="s">
        <v>25</v>
      </c>
      <c r="R219" s="13" t="s">
        <v>26</v>
      </c>
      <c r="S219" s="7" t="s">
        <v>27</v>
      </c>
      <c r="T219" s="10" t="s">
        <v>28</v>
      </c>
    </row>
    <row r="220" spans="1:21" x14ac:dyDescent="0.25">
      <c r="A220" s="7" t="s">
        <v>260</v>
      </c>
      <c r="B220" s="7" t="s">
        <v>208</v>
      </c>
      <c r="C220" s="7" t="s">
        <v>90</v>
      </c>
      <c r="D220" s="7" t="s">
        <v>235</v>
      </c>
      <c r="E220" s="8" t="s">
        <v>193</v>
      </c>
      <c r="F220" s="9">
        <v>212</v>
      </c>
      <c r="G220" s="9">
        <v>454</v>
      </c>
      <c r="H220" s="10">
        <f>(G220+F220)*(1+0.2+0.24)+311</f>
        <v>1270.04</v>
      </c>
      <c r="I220" s="15">
        <f>1+0.2+0.518+0.2+0.613</f>
        <v>2.5309999999999997</v>
      </c>
      <c r="K220" s="13">
        <v>0</v>
      </c>
      <c r="L220" s="13">
        <v>0</v>
      </c>
      <c r="M220" s="14">
        <f>60.25%+K220/2+L220/4</f>
        <v>0.60250000000000004</v>
      </c>
      <c r="N220" s="14">
        <f>60.25%*2+K220+L220/2</f>
        <v>1.2050000000000001</v>
      </c>
      <c r="O220" s="13">
        <f>0.466+0.25*I220</f>
        <v>1.0987499999999999</v>
      </c>
      <c r="P220" s="9">
        <v>0.5</v>
      </c>
      <c r="Q220" s="9">
        <v>1.0249999999999999</v>
      </c>
      <c r="R220" s="13">
        <v>1.7280000000000002</v>
      </c>
      <c r="S220" s="7" t="s">
        <v>261</v>
      </c>
      <c r="T220" s="14">
        <f>0.2+0.1*I220</f>
        <v>0.4531</v>
      </c>
    </row>
    <row r="221" spans="1:21" x14ac:dyDescent="0.25">
      <c r="I221" s="15"/>
      <c r="T221" s="14"/>
    </row>
    <row r="222" spans="1:21" x14ac:dyDescent="0.25">
      <c r="A222" s="31"/>
      <c r="B222" s="31"/>
      <c r="C222" s="31"/>
      <c r="D222" s="31"/>
      <c r="E222" s="32"/>
      <c r="F222" s="33"/>
      <c r="G222" s="33"/>
      <c r="H222" s="34"/>
      <c r="I222" s="45"/>
      <c r="J222" s="46"/>
      <c r="K222" s="47"/>
      <c r="L222" s="47"/>
      <c r="M222" s="48"/>
      <c r="N222" s="48"/>
      <c r="O222" s="47"/>
      <c r="P222" s="33"/>
      <c r="Q222" s="33"/>
      <c r="R222" s="47"/>
      <c r="S222" s="31"/>
      <c r="T222" s="48"/>
    </row>
    <row r="223" spans="1:21" x14ac:dyDescent="0.25">
      <c r="A223" s="7" t="s">
        <v>9</v>
      </c>
      <c r="B223" s="7" t="s">
        <v>10</v>
      </c>
      <c r="C223" s="7" t="s">
        <v>11</v>
      </c>
      <c r="D223" s="7" t="s">
        <v>12</v>
      </c>
      <c r="E223" s="8" t="s">
        <v>13</v>
      </c>
      <c r="F223" s="9" t="s">
        <v>14</v>
      </c>
      <c r="G223" s="9" t="s">
        <v>15</v>
      </c>
      <c r="H223" s="10" t="s">
        <v>16</v>
      </c>
      <c r="I223" s="11" t="s">
        <v>18</v>
      </c>
      <c r="J223" s="15" t="s">
        <v>39</v>
      </c>
      <c r="K223" s="13" t="s">
        <v>19</v>
      </c>
      <c r="L223" s="13" t="s">
        <v>20</v>
      </c>
      <c r="M223" s="14" t="s">
        <v>21</v>
      </c>
      <c r="N223" s="14" t="s">
        <v>22</v>
      </c>
      <c r="O223" s="13" t="s">
        <v>23</v>
      </c>
      <c r="P223" s="9" t="s">
        <v>24</v>
      </c>
      <c r="Q223" s="9" t="s">
        <v>25</v>
      </c>
      <c r="R223" s="13" t="s">
        <v>26</v>
      </c>
      <c r="S223" s="7" t="s">
        <v>27</v>
      </c>
      <c r="T223" s="10" t="s">
        <v>28</v>
      </c>
      <c r="U223" s="1"/>
    </row>
    <row r="224" spans="1:21" x14ac:dyDescent="0.25">
      <c r="A224" s="20" t="s">
        <v>262</v>
      </c>
      <c r="B224" s="20" t="s">
        <v>263</v>
      </c>
      <c r="C224" s="20" t="s">
        <v>264</v>
      </c>
      <c r="D224" s="20" t="s">
        <v>192</v>
      </c>
      <c r="E224" s="35" t="s">
        <v>131</v>
      </c>
      <c r="F224" s="36">
        <f>299</f>
        <v>299</v>
      </c>
      <c r="G224" s="36">
        <v>542</v>
      </c>
      <c r="H224" s="37">
        <f>(F224+G224)*(1)+311</f>
        <v>1152</v>
      </c>
      <c r="I224" s="37">
        <f>115+187*3+265</f>
        <v>941</v>
      </c>
      <c r="J224" s="49">
        <v>1.3</v>
      </c>
      <c r="K224" s="13">
        <v>0</v>
      </c>
      <c r="L224" s="13">
        <v>0</v>
      </c>
      <c r="M224" s="14">
        <f>5%+7*3.3%</f>
        <v>0.28100000000000003</v>
      </c>
      <c r="N224" s="14">
        <f>50%+7*6.6%</f>
        <v>0.96199999999999997</v>
      </c>
      <c r="O224" s="13">
        <f>0.15+0.1*3+0.1%*(I224-200)</f>
        <v>1.1910000000000001</v>
      </c>
      <c r="P224" s="9">
        <v>0.5</v>
      </c>
      <c r="Q224" s="9">
        <v>1.1000000000000001</v>
      </c>
      <c r="R224" s="13">
        <v>1.8575999999999999</v>
      </c>
      <c r="S224" s="12" t="s">
        <v>265</v>
      </c>
      <c r="T224" s="10">
        <f>(H224*R224+3.7152*I224+1.25*1446.85*(1+(5*(I224))/(1200+I224)))*(1+O224)*(1+N224)*P224*Q224</f>
        <v>26997.953369458883</v>
      </c>
      <c r="U224" s="59"/>
    </row>
    <row r="225" spans="1:23" x14ac:dyDescent="0.25">
      <c r="A225" s="20" t="s">
        <v>262</v>
      </c>
      <c r="B225" s="20" t="s">
        <v>263</v>
      </c>
      <c r="C225" s="20" t="s">
        <v>264</v>
      </c>
      <c r="D225" s="20" t="s">
        <v>266</v>
      </c>
      <c r="E225" s="35" t="s">
        <v>131</v>
      </c>
      <c r="F225" s="36">
        <f>299</f>
        <v>299</v>
      </c>
      <c r="G225" s="36">
        <v>542</v>
      </c>
      <c r="H225" s="37">
        <f>(F225+G225)*(1)+311</f>
        <v>1152</v>
      </c>
      <c r="I225" s="37">
        <f>115+187*2+265+20</f>
        <v>774</v>
      </c>
      <c r="J225" s="49">
        <v>1.3</v>
      </c>
      <c r="K225" s="13">
        <v>0.311</v>
      </c>
      <c r="L225" s="13">
        <v>0</v>
      </c>
      <c r="M225" s="14">
        <f>5%+8*3.3%+K225/2</f>
        <v>0.46950000000000003</v>
      </c>
      <c r="N225" s="14">
        <f>50%+7*6.6%+K225</f>
        <v>1.2729999999999999</v>
      </c>
      <c r="O225" s="13">
        <f>0.15+0.1*3+0.1%*(I225-200)</f>
        <v>1.024</v>
      </c>
      <c r="P225" s="9">
        <v>0.5</v>
      </c>
      <c r="Q225" s="9">
        <v>1.1000000000000001</v>
      </c>
      <c r="R225" s="13">
        <v>1.8575999999999999</v>
      </c>
      <c r="S225" s="12" t="s">
        <v>265</v>
      </c>
      <c r="T225" s="10">
        <f>(H225*R225+3.7152*I225+1.25*1446.85*(1+(5*(I225))/(1200+I225)))*(1+O225)*(1+N225)*P225*Q225</f>
        <v>26238.601950948134</v>
      </c>
      <c r="U225" s="59"/>
    </row>
    <row r="226" spans="1:23" x14ac:dyDescent="0.25">
      <c r="A226" s="20" t="s">
        <v>262</v>
      </c>
      <c r="B226" s="20" t="s">
        <v>267</v>
      </c>
      <c r="C226" s="20" t="s">
        <v>264</v>
      </c>
      <c r="D226" s="20" t="s">
        <v>192</v>
      </c>
      <c r="E226" s="35" t="s">
        <v>131</v>
      </c>
      <c r="F226" s="36">
        <f>299</f>
        <v>299</v>
      </c>
      <c r="G226" s="36">
        <v>510</v>
      </c>
      <c r="H226" s="37">
        <f>(F226+G226)*(1)+311+48%*I226</f>
        <v>1523.68</v>
      </c>
      <c r="I226" s="37">
        <f>115+187*3+165</f>
        <v>841</v>
      </c>
      <c r="J226" s="49">
        <v>1.3</v>
      </c>
      <c r="K226" s="13">
        <v>0</v>
      </c>
      <c r="L226" s="13">
        <v>0</v>
      </c>
      <c r="M226" s="14">
        <f>5%+7*3.3%</f>
        <v>0.28100000000000003</v>
      </c>
      <c r="N226" s="14">
        <f>50%+7*6.6%</f>
        <v>0.96199999999999997</v>
      </c>
      <c r="O226" s="13">
        <f>0.15+0.1%*(I226-200)</f>
        <v>0.79100000000000004</v>
      </c>
      <c r="P226" s="9">
        <v>0.5</v>
      </c>
      <c r="Q226" s="9">
        <v>1.1000000000000001</v>
      </c>
      <c r="R226" s="13">
        <v>1.8575999999999999</v>
      </c>
      <c r="S226" s="12" t="s">
        <v>265</v>
      </c>
      <c r="T226" s="10">
        <f>(H226*R226+3.7152*I226+1.25*1446.85*(1+(5*(I226))/(1200+I226)))*(1+O226)*(1+N226)*P226*Q226</f>
        <v>22205.488547515655</v>
      </c>
      <c r="U226" s="59"/>
    </row>
    <row r="227" spans="1:23" x14ac:dyDescent="0.25">
      <c r="A227" s="20" t="s">
        <v>262</v>
      </c>
      <c r="B227" s="20" t="s">
        <v>211</v>
      </c>
      <c r="C227" s="20" t="s">
        <v>264</v>
      </c>
      <c r="D227" s="20" t="s">
        <v>192</v>
      </c>
      <c r="E227" s="35" t="s">
        <v>131</v>
      </c>
      <c r="F227" s="36">
        <f>299</f>
        <v>299</v>
      </c>
      <c r="G227" s="36">
        <v>454</v>
      </c>
      <c r="H227" s="37">
        <f>(F227+G227)*(1)+311</f>
        <v>1064</v>
      </c>
      <c r="I227" s="37">
        <f>115+187*3+221</f>
        <v>897</v>
      </c>
      <c r="J227" s="49">
        <v>1.3</v>
      </c>
      <c r="K227" s="13">
        <v>0</v>
      </c>
      <c r="L227" s="13">
        <v>0</v>
      </c>
      <c r="M227" s="14">
        <f>5%+7*3.3%</f>
        <v>0.28100000000000003</v>
      </c>
      <c r="N227" s="14">
        <f>50%+7*6.6%</f>
        <v>0.96199999999999997</v>
      </c>
      <c r="O227" s="13">
        <f>0.15+0.1%*(I227-200)</f>
        <v>0.84700000000000009</v>
      </c>
      <c r="P227" s="9">
        <v>0.5</v>
      </c>
      <c r="Q227" s="9">
        <v>1.1000000000000001</v>
      </c>
      <c r="R227" s="13">
        <v>1.8575999999999999</v>
      </c>
      <c r="S227" s="12" t="s">
        <v>265</v>
      </c>
      <c r="T227" s="10">
        <f>(H227*R227+3.7152*I227+1.25*1446.85*(1+(5*(I227))/(1200+I227)))*(1+O227)*(1+N227)*P227*Q227</f>
        <v>21895.537373728461</v>
      </c>
      <c r="U227" s="59"/>
    </row>
    <row r="228" spans="1:23" x14ac:dyDescent="0.25">
      <c r="A228" s="20"/>
      <c r="B228" s="20"/>
      <c r="C228" s="20"/>
      <c r="D228" s="20"/>
      <c r="E228" s="35"/>
      <c r="F228" s="36"/>
      <c r="G228" s="36"/>
      <c r="H228" s="37"/>
      <c r="I228" s="37"/>
      <c r="J228" s="49"/>
      <c r="S228" s="12"/>
    </row>
    <row r="229" spans="1:23" x14ac:dyDescent="0.25">
      <c r="A229" s="7" t="s">
        <v>9</v>
      </c>
      <c r="B229" s="7" t="s">
        <v>10</v>
      </c>
      <c r="C229" s="7" t="s">
        <v>11</v>
      </c>
      <c r="D229" s="7" t="s">
        <v>12</v>
      </c>
      <c r="E229" s="8" t="s">
        <v>13</v>
      </c>
      <c r="F229" s="9" t="s">
        <v>14</v>
      </c>
      <c r="G229" s="9" t="s">
        <v>15</v>
      </c>
      <c r="H229" s="10" t="s">
        <v>16</v>
      </c>
      <c r="I229" s="11" t="s">
        <v>18</v>
      </c>
      <c r="J229" s="15"/>
      <c r="K229" s="13" t="s">
        <v>19</v>
      </c>
      <c r="L229" s="13" t="s">
        <v>20</v>
      </c>
      <c r="M229" s="14" t="s">
        <v>21</v>
      </c>
      <c r="N229" s="14" t="s">
        <v>22</v>
      </c>
      <c r="O229" s="13" t="s">
        <v>23</v>
      </c>
      <c r="P229" s="9" t="s">
        <v>24</v>
      </c>
      <c r="Q229" s="9" t="s">
        <v>25</v>
      </c>
      <c r="R229" s="13" t="s">
        <v>26</v>
      </c>
      <c r="S229" s="7" t="s">
        <v>27</v>
      </c>
      <c r="T229" s="10" t="s">
        <v>28</v>
      </c>
    </row>
    <row r="230" spans="1:23" s="6" customFormat="1" x14ac:dyDescent="0.25">
      <c r="A230" s="20" t="s">
        <v>268</v>
      </c>
      <c r="B230" s="20" t="s">
        <v>269</v>
      </c>
      <c r="C230" s="20" t="s">
        <v>58</v>
      </c>
      <c r="D230" s="20" t="s">
        <v>270</v>
      </c>
      <c r="E230" s="35" t="s">
        <v>199</v>
      </c>
      <c r="F230" s="36">
        <v>268</v>
      </c>
      <c r="G230" s="36">
        <v>542</v>
      </c>
      <c r="H230" s="37">
        <f>(F230+G230)*(1)+311</f>
        <v>1121</v>
      </c>
      <c r="I230" s="37">
        <f>187+80+80</f>
        <v>347</v>
      </c>
      <c r="J230" s="49"/>
      <c r="K230" s="13">
        <v>0.441</v>
      </c>
      <c r="L230" s="13">
        <v>0</v>
      </c>
      <c r="M230" s="14">
        <f>60.25%+K230/2+L230/4-2.3%</f>
        <v>0.8</v>
      </c>
      <c r="N230" s="14">
        <f>60.25%*2+K230+L230/2+2.3%*2</f>
        <v>1.6920000000000002</v>
      </c>
      <c r="O230" s="13">
        <f>0.466+0.35+0.288+0.12+0.06%*(I230+50)</f>
        <v>1.4622000000000002</v>
      </c>
      <c r="P230" s="9">
        <v>0.5</v>
      </c>
      <c r="Q230" s="9">
        <v>0.9</v>
      </c>
      <c r="R230" s="13">
        <v>0.69479999999999997</v>
      </c>
      <c r="S230" s="12" t="s">
        <v>271</v>
      </c>
      <c r="T230" s="10">
        <f>(H230*R230+1.6*(I230+50)+1.25*1446.85*(1+(5*(I230+50))/(1200+I230+50)))*(1+O230)*(1+N230)*P230*Q230</f>
        <v>16317.196606132664</v>
      </c>
      <c r="W230" s="37"/>
    </row>
    <row r="231" spans="1:23" s="6" customFormat="1" x14ac:dyDescent="0.25">
      <c r="A231" s="20" t="s">
        <v>268</v>
      </c>
      <c r="B231" s="20" t="s">
        <v>269</v>
      </c>
      <c r="C231" s="20" t="s">
        <v>216</v>
      </c>
      <c r="D231" s="20" t="s">
        <v>270</v>
      </c>
      <c r="E231" s="35" t="s">
        <v>199</v>
      </c>
      <c r="F231" s="36">
        <v>268</v>
      </c>
      <c r="G231" s="36">
        <v>542</v>
      </c>
      <c r="H231" s="37">
        <f>(F231+G231)*(1+0.14)+311</f>
        <v>1234.4000000000001</v>
      </c>
      <c r="I231" s="37">
        <f>187+80+80</f>
        <v>347</v>
      </c>
      <c r="J231" s="49"/>
      <c r="K231" s="13">
        <v>0.441</v>
      </c>
      <c r="L231" s="13">
        <v>0</v>
      </c>
      <c r="M231" s="14">
        <f>60.25%+K231/2+L231/4-2.3%</f>
        <v>0.8</v>
      </c>
      <c r="N231" s="14">
        <f>60.25%*2+K231+L231/2+2.3%*2</f>
        <v>1.6920000000000002</v>
      </c>
      <c r="O231" s="13">
        <f>0.466+0.288+0.12+0.06%*(I231+50)</f>
        <v>1.1122000000000001</v>
      </c>
      <c r="P231" s="9">
        <v>0.5</v>
      </c>
      <c r="Q231" s="9">
        <v>0.9</v>
      </c>
      <c r="R231" s="13">
        <v>0.69479999999999997</v>
      </c>
      <c r="S231" s="12" t="s">
        <v>271</v>
      </c>
      <c r="T231" s="10">
        <f>(H231*R231+1.6*(I231+50+100)+1.25*1446.85*(1+(5*(I231+50+100))/(1200+I231+50+100)))*(1+O231)*(1+N231)*P231*Q231</f>
        <v>15633.236346764515</v>
      </c>
      <c r="W231" s="37"/>
    </row>
    <row r="232" spans="1:23" x14ac:dyDescent="0.25">
      <c r="A232" s="20" t="s">
        <v>268</v>
      </c>
      <c r="B232" s="20" t="s">
        <v>154</v>
      </c>
      <c r="C232" s="20" t="s">
        <v>58</v>
      </c>
      <c r="D232" s="20" t="s">
        <v>270</v>
      </c>
      <c r="E232" s="35" t="s">
        <v>199</v>
      </c>
      <c r="F232" s="36">
        <v>268</v>
      </c>
      <c r="G232" s="36">
        <v>674</v>
      </c>
      <c r="H232" s="37">
        <f>(F232+G232)*(1)+311</f>
        <v>1253</v>
      </c>
      <c r="I232" s="37">
        <f>187+80+80</f>
        <v>347</v>
      </c>
      <c r="J232" s="49"/>
      <c r="K232" s="13">
        <v>0.221</v>
      </c>
      <c r="L232" s="13">
        <v>0.2</v>
      </c>
      <c r="M232" s="14">
        <f>60.25%+K232/2+L232/4</f>
        <v>0.76300000000000012</v>
      </c>
      <c r="N232" s="14">
        <f>60.25%*2+K232+L232/2</f>
        <v>1.5260000000000002</v>
      </c>
      <c r="O232" s="13">
        <f>0.466+0.35+0.288+0.06%*(I232+50)</f>
        <v>1.3422000000000001</v>
      </c>
      <c r="P232" s="9">
        <v>0.5</v>
      </c>
      <c r="Q232" s="9">
        <v>0.9</v>
      </c>
      <c r="R232" s="13">
        <v>0.69479999999999997</v>
      </c>
      <c r="S232" s="12" t="s">
        <v>271</v>
      </c>
      <c r="T232" s="10">
        <f>(H232*R232+1.25*1446.85*(1+(5*(I232+50))/(1200+I232+50)))*(1+O232)*(1+N232)*P232*Q232</f>
        <v>13117.832066414805</v>
      </c>
    </row>
    <row r="233" spans="1:23" x14ac:dyDescent="0.25">
      <c r="A233" s="20" t="s">
        <v>268</v>
      </c>
      <c r="B233" s="20" t="s">
        <v>155</v>
      </c>
      <c r="C233" s="20" t="s">
        <v>58</v>
      </c>
      <c r="D233" s="20" t="s">
        <v>270</v>
      </c>
      <c r="E233" s="35" t="s">
        <v>199</v>
      </c>
      <c r="F233" s="36">
        <v>268</v>
      </c>
      <c r="G233" s="36">
        <v>510</v>
      </c>
      <c r="H233" s="37">
        <f>(F233+G233)*(1)+311</f>
        <v>1089</v>
      </c>
      <c r="I233" s="37">
        <f>187+80+80</f>
        <v>347</v>
      </c>
      <c r="J233" s="49"/>
      <c r="K233" s="13">
        <v>0.27600000000000002</v>
      </c>
      <c r="L233" s="13">
        <v>0</v>
      </c>
      <c r="M233" s="14">
        <f>60.25%+K233/2+L233/4</f>
        <v>0.74050000000000005</v>
      </c>
      <c r="N233" s="14">
        <f>60.25%*2+K233+L233/2</f>
        <v>1.4810000000000001</v>
      </c>
      <c r="O233" s="13">
        <f>0.466+0.35+0.288+0.06%*(I233+50)</f>
        <v>1.3422000000000001</v>
      </c>
      <c r="P233" s="9">
        <v>0.5</v>
      </c>
      <c r="Q233" s="9">
        <v>0.9</v>
      </c>
      <c r="R233" s="13">
        <v>0.69479999999999997</v>
      </c>
      <c r="S233" s="12" t="s">
        <v>271</v>
      </c>
      <c r="T233" s="10">
        <f>(H233*R233+1.25*1446.85*(1+(5*(I233+50))/(1200+I233+50)))*(1+O233)*(1+N233)*P233*Q233</f>
        <v>12586.175333064644</v>
      </c>
    </row>
    <row r="234" spans="1:23" x14ac:dyDescent="0.25">
      <c r="I234" s="15"/>
      <c r="T234" s="14"/>
    </row>
    <row r="235" spans="1:23" x14ac:dyDescent="0.25">
      <c r="A235" s="7" t="s">
        <v>9</v>
      </c>
      <c r="B235" s="7" t="s">
        <v>10</v>
      </c>
      <c r="C235" s="7" t="s">
        <v>11</v>
      </c>
      <c r="D235" s="7" t="s">
        <v>12</v>
      </c>
      <c r="E235" s="8" t="s">
        <v>13</v>
      </c>
      <c r="F235" s="9" t="s">
        <v>14</v>
      </c>
      <c r="G235" s="9" t="s">
        <v>15</v>
      </c>
      <c r="H235" s="10" t="s">
        <v>16</v>
      </c>
      <c r="I235" s="11" t="s">
        <v>18</v>
      </c>
      <c r="J235" s="15" t="s">
        <v>39</v>
      </c>
      <c r="K235" s="13" t="s">
        <v>19</v>
      </c>
      <c r="L235" s="13" t="s">
        <v>20</v>
      </c>
      <c r="M235" s="14" t="s">
        <v>21</v>
      </c>
      <c r="N235" s="14" t="s">
        <v>22</v>
      </c>
      <c r="O235" s="13" t="s">
        <v>23</v>
      </c>
      <c r="P235" s="9" t="s">
        <v>24</v>
      </c>
      <c r="Q235" s="9" t="s">
        <v>25</v>
      </c>
      <c r="R235" s="13" t="s">
        <v>26</v>
      </c>
      <c r="S235" s="7" t="s">
        <v>27</v>
      </c>
      <c r="T235" s="10" t="s">
        <v>28</v>
      </c>
    </row>
    <row r="236" spans="1:23" x14ac:dyDescent="0.25">
      <c r="A236" s="20" t="s">
        <v>272</v>
      </c>
      <c r="B236" s="20" t="s">
        <v>82</v>
      </c>
      <c r="C236" s="20" t="s">
        <v>264</v>
      </c>
      <c r="D236" s="20" t="s">
        <v>273</v>
      </c>
      <c r="E236" s="35" t="s">
        <v>274</v>
      </c>
      <c r="F236" s="36">
        <v>200</v>
      </c>
      <c r="G236" s="36">
        <v>608</v>
      </c>
      <c r="H236" s="37">
        <f>(F236+G236)*(1+0.24+0.466+0.2)+311</f>
        <v>1851.048</v>
      </c>
      <c r="I236" s="37">
        <f>60+60</f>
        <v>120</v>
      </c>
      <c r="J236" s="49">
        <f>1+0.15+0.551</f>
        <v>1.7010000000000001</v>
      </c>
      <c r="K236" s="13">
        <v>0</v>
      </c>
      <c r="L236" s="13">
        <v>0</v>
      </c>
      <c r="M236" s="14">
        <f>60.25%+K236/2+L236/4</f>
        <v>0.60250000000000004</v>
      </c>
      <c r="N236" s="14">
        <f>60.25%*2+K236+L236/2</f>
        <v>1.2050000000000001</v>
      </c>
      <c r="O236" s="13">
        <f>0.466+0.15</f>
        <v>0.61599999999999999</v>
      </c>
      <c r="P236" s="9">
        <v>0.5</v>
      </c>
      <c r="Q236" s="9">
        <v>1.1000000000000001</v>
      </c>
      <c r="R236" s="13">
        <v>0.86499999999999999</v>
      </c>
      <c r="S236" s="12" t="s">
        <v>275</v>
      </c>
      <c r="T236" s="10">
        <f>(H236*(1+0.2)*R236+1.25*1446.85*(1+(5*I236+500)/(1200+I236+100)))*(1+O236)*(1+N236)*P236*Q236</f>
        <v>10055.655243596919</v>
      </c>
    </row>
    <row r="237" spans="1:23" x14ac:dyDescent="0.25">
      <c r="A237" s="20" t="s">
        <v>272</v>
      </c>
      <c r="B237" s="20" t="s">
        <v>82</v>
      </c>
      <c r="C237" s="20" t="s">
        <v>83</v>
      </c>
      <c r="D237" s="20" t="s">
        <v>273</v>
      </c>
      <c r="E237" s="35" t="s">
        <v>274</v>
      </c>
      <c r="F237" s="36">
        <v>200</v>
      </c>
      <c r="G237" s="36">
        <v>608</v>
      </c>
      <c r="H237" s="37">
        <f>(F237+G237)*(1+0.24+0.466+0.2)+311</f>
        <v>1851.048</v>
      </c>
      <c r="I237" s="37">
        <f>60+60</f>
        <v>120</v>
      </c>
      <c r="J237" s="49">
        <f>1+0.15+0.551</f>
        <v>1.7010000000000001</v>
      </c>
      <c r="K237" s="13">
        <v>0</v>
      </c>
      <c r="L237" s="13">
        <v>0</v>
      </c>
      <c r="M237" s="14">
        <f>60.25%+K237/2+L237/4</f>
        <v>0.60250000000000004</v>
      </c>
      <c r="N237" s="14">
        <f>60.25%*2+K237+L237/2</f>
        <v>1.2050000000000001</v>
      </c>
      <c r="O237" s="13">
        <f>0.466+0.2</f>
        <v>0.66600000000000004</v>
      </c>
      <c r="P237" s="9">
        <v>0.5</v>
      </c>
      <c r="Q237" s="9">
        <v>0.9</v>
      </c>
      <c r="R237" s="13">
        <v>0.86499999999999999</v>
      </c>
      <c r="S237" s="12" t="s">
        <v>275</v>
      </c>
      <c r="T237" s="10">
        <f>(H237*(1+0.2)*R237+1.25*1446.85*(1+(5*I237+500)/(1200+I237+100)))*(1+O237)*(1+N237)*P237*Q237</f>
        <v>8481.9135194921346</v>
      </c>
    </row>
    <row r="238" spans="1:23" x14ac:dyDescent="0.25">
      <c r="A238" s="20" t="s">
        <v>272</v>
      </c>
      <c r="B238" s="20" t="s">
        <v>125</v>
      </c>
      <c r="C238" s="20" t="s">
        <v>264</v>
      </c>
      <c r="D238" s="20" t="s">
        <v>273</v>
      </c>
      <c r="E238" s="35" t="s">
        <v>274</v>
      </c>
      <c r="F238" s="36">
        <v>200</v>
      </c>
      <c r="G238" s="36">
        <v>454</v>
      </c>
      <c r="H238" s="37">
        <f>(F238+G238)*(1+0.24+0.466+0.2)+311</f>
        <v>1557.5239999999999</v>
      </c>
      <c r="I238" s="37">
        <f>60</f>
        <v>60</v>
      </c>
      <c r="J238" s="49">
        <f>1+0.15+0.613</f>
        <v>1.7629999999999999</v>
      </c>
      <c r="K238" s="13">
        <v>0</v>
      </c>
      <c r="L238" s="13">
        <v>0</v>
      </c>
      <c r="M238" s="14">
        <f>60.25%+K238/2+L238/4</f>
        <v>0.60250000000000004</v>
      </c>
      <c r="N238" s="14">
        <f>60.25%*2+K238+L238/2</f>
        <v>1.2050000000000001</v>
      </c>
      <c r="O238" s="13">
        <f>0.466+0.15</f>
        <v>0.61599999999999999</v>
      </c>
      <c r="P238" s="9">
        <v>0.5</v>
      </c>
      <c r="Q238" s="9">
        <v>1.1000000000000001</v>
      </c>
      <c r="R238" s="13">
        <v>0.86499999999999999</v>
      </c>
      <c r="S238" s="12" t="s">
        <v>275</v>
      </c>
      <c r="T238" s="10">
        <f>(H238*(1)*R238+1.25*1446.85*(1+(5*I238)/(1200+I238)))*(1+O238)*(1+N238)*P238*Q238</f>
        <v>7028.7015824810405</v>
      </c>
    </row>
    <row r="239" spans="1:23" x14ac:dyDescent="0.25">
      <c r="A239" s="20" t="s">
        <v>272</v>
      </c>
      <c r="B239" s="20" t="s">
        <v>125</v>
      </c>
      <c r="C239" s="20" t="s">
        <v>83</v>
      </c>
      <c r="D239" s="20" t="s">
        <v>273</v>
      </c>
      <c r="E239" s="35" t="s">
        <v>274</v>
      </c>
      <c r="F239" s="36">
        <v>200</v>
      </c>
      <c r="G239" s="36">
        <v>454</v>
      </c>
      <c r="H239" s="37">
        <f>(F239+G239)*(1+0.24+0.466+0.2)+311</f>
        <v>1557.5239999999999</v>
      </c>
      <c r="I239" s="37">
        <f>60</f>
        <v>60</v>
      </c>
      <c r="J239" s="49">
        <f>1+0.15+0.613</f>
        <v>1.7629999999999999</v>
      </c>
      <c r="K239" s="13">
        <v>0</v>
      </c>
      <c r="L239" s="13">
        <v>0</v>
      </c>
      <c r="M239" s="14">
        <f>60.25%+K239/2+L239/4</f>
        <v>0.60250000000000004</v>
      </c>
      <c r="N239" s="14">
        <f>60.25%*2+K239+L239/2</f>
        <v>1.2050000000000001</v>
      </c>
      <c r="O239" s="13">
        <f>0.466+0.2</f>
        <v>0.66600000000000004</v>
      </c>
      <c r="P239" s="9">
        <v>0.5</v>
      </c>
      <c r="Q239" s="9">
        <v>0.9</v>
      </c>
      <c r="R239" s="13">
        <v>0.86499999999999999</v>
      </c>
      <c r="S239" s="12" t="s">
        <v>275</v>
      </c>
      <c r="T239" s="10">
        <f>(H239*(1+0.2)*R239+1.25*1446.85*(1+(5*I239)/(1200+I239)))*(1+O239)*(1+N239)*P239*Q239</f>
        <v>6374.1150694257112</v>
      </c>
    </row>
    <row r="241" spans="1:20" x14ac:dyDescent="0.25">
      <c r="A241" s="19" t="s">
        <v>9</v>
      </c>
      <c r="B241" s="19" t="s">
        <v>10</v>
      </c>
      <c r="C241" s="19" t="s">
        <v>11</v>
      </c>
      <c r="D241" s="19" t="s">
        <v>12</v>
      </c>
      <c r="E241" s="38" t="s">
        <v>13</v>
      </c>
      <c r="F241" s="39" t="s">
        <v>14</v>
      </c>
      <c r="G241" s="39" t="s">
        <v>15</v>
      </c>
      <c r="H241" s="40" t="s">
        <v>16</v>
      </c>
      <c r="I241" s="50" t="s">
        <v>18</v>
      </c>
      <c r="J241" s="51" t="s">
        <v>39</v>
      </c>
      <c r="K241" s="52" t="s">
        <v>19</v>
      </c>
      <c r="L241" s="52" t="s">
        <v>20</v>
      </c>
      <c r="M241" s="53" t="s">
        <v>21</v>
      </c>
      <c r="N241" s="53" t="s">
        <v>22</v>
      </c>
      <c r="O241" s="52" t="s">
        <v>23</v>
      </c>
      <c r="P241" s="39" t="s">
        <v>24</v>
      </c>
      <c r="Q241" s="39" t="s">
        <v>25</v>
      </c>
      <c r="R241" s="52" t="s">
        <v>26</v>
      </c>
      <c r="S241" s="19" t="s">
        <v>27</v>
      </c>
      <c r="T241" s="40" t="s">
        <v>28</v>
      </c>
    </row>
    <row r="242" spans="1:20" x14ac:dyDescent="0.25">
      <c r="A242" s="20" t="s">
        <v>276</v>
      </c>
      <c r="B242" s="20" t="s">
        <v>98</v>
      </c>
      <c r="C242" s="20" t="s">
        <v>264</v>
      </c>
      <c r="D242" s="20" t="s">
        <v>270</v>
      </c>
      <c r="E242" s="35" t="s">
        <v>274</v>
      </c>
      <c r="F242" s="36">
        <v>212</v>
      </c>
      <c r="G242" s="36">
        <v>608</v>
      </c>
      <c r="H242" s="37">
        <f>(F242+G242)*(1+0.24)+311</f>
        <v>1327.8</v>
      </c>
      <c r="I242" s="37">
        <f>187+80</f>
        <v>267</v>
      </c>
      <c r="J242" s="49">
        <f>1+0.2+0.551</f>
        <v>1.7509999999999999</v>
      </c>
      <c r="K242" s="52">
        <v>0.04</v>
      </c>
      <c r="L242" s="52">
        <v>0</v>
      </c>
      <c r="M242" s="53">
        <f>60.25%+K242/2+L242/4</f>
        <v>0.62250000000000005</v>
      </c>
      <c r="N242" s="53">
        <f>60.25%*2+K242+L242/2</f>
        <v>1.2450000000000001</v>
      </c>
      <c r="O242" s="52">
        <f>0.466+0.15+0.1%*I242</f>
        <v>0.88300000000000001</v>
      </c>
      <c r="P242" s="39">
        <v>0.5</v>
      </c>
      <c r="Q242" s="39">
        <v>1.1000000000000001</v>
      </c>
      <c r="R242" s="52">
        <v>1.6032</v>
      </c>
      <c r="S242" s="17" t="s">
        <v>275</v>
      </c>
      <c r="T242" s="40">
        <f>(H242*(1)*R242+1.25*1446.85*(1+(5*I242)/(1200+I242)))*(1+O242)*(1+N242)*P242*Q242</f>
        <v>12980.945965680772</v>
      </c>
    </row>
    <row r="243" spans="1:20" x14ac:dyDescent="0.25">
      <c r="A243" s="20" t="s">
        <v>276</v>
      </c>
      <c r="B243" s="20" t="s">
        <v>208</v>
      </c>
      <c r="C243" s="20" t="s">
        <v>264</v>
      </c>
      <c r="D243" s="20" t="s">
        <v>270</v>
      </c>
      <c r="E243" s="35" t="s">
        <v>274</v>
      </c>
      <c r="F243" s="36">
        <v>212</v>
      </c>
      <c r="G243" s="36">
        <v>454</v>
      </c>
      <c r="H243" s="37">
        <f>(F243+G243)*(1+0.24)+311</f>
        <v>1136.8400000000001</v>
      </c>
      <c r="I243" s="37">
        <f>187+80</f>
        <v>267</v>
      </c>
      <c r="J243" s="49">
        <f>1+0.2+0.613</f>
        <v>1.8129999999999999</v>
      </c>
      <c r="K243" s="52">
        <v>0</v>
      </c>
      <c r="L243" s="52">
        <v>0</v>
      </c>
      <c r="M243" s="53">
        <f>60.25%+K243/2+L243/4</f>
        <v>0.60250000000000004</v>
      </c>
      <c r="N243" s="53">
        <f>60.25%*2+K243+L243/2</f>
        <v>1.2050000000000001</v>
      </c>
      <c r="O243" s="52">
        <f>0.466+0.15+0.1%*I243</f>
        <v>0.88300000000000001</v>
      </c>
      <c r="P243" s="39">
        <v>0.5</v>
      </c>
      <c r="Q243" s="39">
        <v>1.1000000000000001</v>
      </c>
      <c r="R243" s="52">
        <v>1.6032</v>
      </c>
      <c r="S243" s="17" t="s">
        <v>275</v>
      </c>
      <c r="T243" s="40">
        <f>(H243*(1)*R243+1.25*1446.85*(1+(5*I243)/(1200+I243)))*(1+O243)*(1+N243)*P243*Q243</f>
        <v>12050.539643975299</v>
      </c>
    </row>
    <row r="244" spans="1:20" x14ac:dyDescent="0.25">
      <c r="A244" s="20" t="s">
        <v>276</v>
      </c>
      <c r="B244" s="20" t="s">
        <v>277</v>
      </c>
      <c r="C244" s="20" t="s">
        <v>264</v>
      </c>
      <c r="D244" s="20" t="s">
        <v>270</v>
      </c>
      <c r="E244" s="35" t="s">
        <v>274</v>
      </c>
      <c r="F244" s="36">
        <v>212</v>
      </c>
      <c r="G244" s="36">
        <v>565</v>
      </c>
      <c r="H244" s="37">
        <f>(F244+G244)*(1+0.24)+311</f>
        <v>1274.48</v>
      </c>
      <c r="I244" s="37">
        <f>187+80</f>
        <v>267</v>
      </c>
      <c r="J244" s="49">
        <f>1+0.2+0.306</f>
        <v>1.506</v>
      </c>
      <c r="K244" s="52">
        <v>0</v>
      </c>
      <c r="L244" s="52">
        <v>0</v>
      </c>
      <c r="M244" s="53">
        <f>60.25%+K244/2+L244/4</f>
        <v>0.60250000000000004</v>
      </c>
      <c r="N244" s="53">
        <f>60.25%*2+K244+L244/2</f>
        <v>1.2050000000000001</v>
      </c>
      <c r="O244" s="52">
        <f>0.466+0.15+0.1%*I244</f>
        <v>0.88300000000000001</v>
      </c>
      <c r="P244" s="39">
        <v>0.5</v>
      </c>
      <c r="Q244" s="39">
        <v>1.1000000000000001</v>
      </c>
      <c r="R244" s="52">
        <v>1.6032</v>
      </c>
      <c r="S244" s="17" t="s">
        <v>275</v>
      </c>
      <c r="T244" s="40">
        <f>(H244*(1)*R244+1.25*1446.85*(1+(5*I244)/(1200+I244)))*(1+O244)*(1+N244)*P244*Q244</f>
        <v>12554.450797909794</v>
      </c>
    </row>
    <row r="245" spans="1:20" x14ac:dyDescent="0.25">
      <c r="I245" s="15"/>
      <c r="T245" s="14"/>
    </row>
    <row r="246" spans="1:20" x14ac:dyDescent="0.25">
      <c r="A246" s="41"/>
      <c r="B246" s="41"/>
      <c r="C246" s="41"/>
      <c r="D246" s="41"/>
      <c r="E246" s="42"/>
      <c r="F246" s="43"/>
      <c r="G246" s="43"/>
      <c r="H246" s="44"/>
      <c r="I246" s="54"/>
      <c r="J246" s="55"/>
      <c r="K246" s="56"/>
      <c r="L246" s="56"/>
      <c r="M246" s="57"/>
      <c r="N246" s="57"/>
      <c r="O246" s="56"/>
      <c r="P246" s="43"/>
      <c r="Q246" s="43"/>
      <c r="R246" s="56"/>
      <c r="S246" s="41"/>
      <c r="T246" s="44"/>
    </row>
    <row r="247" spans="1:20" x14ac:dyDescent="0.25">
      <c r="A247" s="7" t="s">
        <v>9</v>
      </c>
      <c r="B247" s="7" t="s">
        <v>10</v>
      </c>
      <c r="C247" s="7" t="s">
        <v>11</v>
      </c>
      <c r="D247" s="7" t="s">
        <v>12</v>
      </c>
      <c r="E247" s="8" t="s">
        <v>13</v>
      </c>
      <c r="F247" s="9" t="s">
        <v>14</v>
      </c>
      <c r="G247" s="9" t="s">
        <v>15</v>
      </c>
      <c r="H247" s="10" t="s">
        <v>16</v>
      </c>
      <c r="I247" s="11" t="s">
        <v>99</v>
      </c>
      <c r="J247" s="15"/>
      <c r="K247" s="13" t="s">
        <v>19</v>
      </c>
      <c r="L247" s="13" t="s">
        <v>20</v>
      </c>
      <c r="M247" s="14" t="s">
        <v>21</v>
      </c>
      <c r="N247" s="14" t="s">
        <v>22</v>
      </c>
      <c r="O247" s="13" t="s">
        <v>23</v>
      </c>
      <c r="P247" s="9" t="s">
        <v>24</v>
      </c>
      <c r="Q247" s="9" t="s">
        <v>25</v>
      </c>
      <c r="R247" s="13" t="s">
        <v>26</v>
      </c>
      <c r="S247" s="7" t="s">
        <v>27</v>
      </c>
      <c r="T247" s="10" t="s">
        <v>28</v>
      </c>
    </row>
    <row r="248" spans="1:20" x14ac:dyDescent="0.25">
      <c r="A248" s="12" t="s">
        <v>278</v>
      </c>
      <c r="B248" s="12" t="s">
        <v>208</v>
      </c>
      <c r="C248" s="12" t="s">
        <v>77</v>
      </c>
      <c r="D248" s="7" t="s">
        <v>107</v>
      </c>
      <c r="E248" s="18" t="s">
        <v>227</v>
      </c>
      <c r="F248" s="9">
        <v>217</v>
      </c>
      <c r="G248" s="9">
        <v>454</v>
      </c>
      <c r="H248" s="10">
        <f>(F248+G248)*(1+0.15)+311</f>
        <v>1082.6500000000001</v>
      </c>
      <c r="I248" s="11">
        <f>11092*(1+0.466*3+0.05*8+0.2+0.24)+4780</f>
        <v>40695.896000000008</v>
      </c>
      <c r="K248" s="13">
        <v>0</v>
      </c>
      <c r="L248" s="13">
        <v>0</v>
      </c>
      <c r="M248" s="14" t="s">
        <v>45</v>
      </c>
      <c r="N248" s="14" t="s">
        <v>45</v>
      </c>
      <c r="O248" s="13">
        <v>0</v>
      </c>
      <c r="P248" s="9">
        <f>0.5</f>
        <v>0.5</v>
      </c>
      <c r="Q248" s="9">
        <f>0.9</f>
        <v>0.9</v>
      </c>
      <c r="R248" s="13">
        <v>0.216</v>
      </c>
      <c r="S248" s="12" t="s">
        <v>80</v>
      </c>
      <c r="T248" s="10">
        <f>(R248*I248+2661)*(1+0.3+0.06*4)*1.2</f>
        <v>21162.027414528002</v>
      </c>
    </row>
    <row r="249" spans="1:20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25">
      <c r="A250" s="7" t="s">
        <v>9</v>
      </c>
      <c r="B250" s="7" t="s">
        <v>10</v>
      </c>
      <c r="C250" s="7" t="s">
        <v>11</v>
      </c>
      <c r="D250" s="7" t="s">
        <v>12</v>
      </c>
      <c r="E250" s="8" t="s">
        <v>13</v>
      </c>
      <c r="F250" s="9" t="s">
        <v>14</v>
      </c>
      <c r="G250" s="9" t="s">
        <v>15</v>
      </c>
      <c r="H250" s="10" t="s">
        <v>16</v>
      </c>
      <c r="I250" s="11" t="s">
        <v>39</v>
      </c>
      <c r="K250" s="13" t="s">
        <v>19</v>
      </c>
      <c r="L250" s="13" t="s">
        <v>20</v>
      </c>
      <c r="M250" s="14" t="s">
        <v>21</v>
      </c>
      <c r="N250" s="14" t="s">
        <v>22</v>
      </c>
      <c r="O250" s="13" t="s">
        <v>23</v>
      </c>
      <c r="P250" s="9" t="s">
        <v>24</v>
      </c>
      <c r="Q250" s="9" t="s">
        <v>25</v>
      </c>
      <c r="R250" s="13" t="s">
        <v>26</v>
      </c>
      <c r="S250" s="7" t="s">
        <v>27</v>
      </c>
      <c r="T250" s="10" t="s">
        <v>28</v>
      </c>
    </row>
    <row r="251" spans="1:20" x14ac:dyDescent="0.25">
      <c r="A251" s="7" t="s">
        <v>279</v>
      </c>
      <c r="B251" s="7" t="s">
        <v>280</v>
      </c>
      <c r="C251" s="7" t="s">
        <v>281</v>
      </c>
      <c r="D251" s="7" t="s">
        <v>282</v>
      </c>
      <c r="E251" s="8" t="s">
        <v>151</v>
      </c>
      <c r="F251" s="9">
        <v>304</v>
      </c>
      <c r="G251" s="9">
        <v>741</v>
      </c>
      <c r="H251" s="10">
        <f>(F251+G251)*(1+0.4+0.466*3+0.165+0.288+0.18*2)+311</f>
        <v>4084.4949999999999</v>
      </c>
      <c r="I251" s="21">
        <f>1+0.8</f>
        <v>1.8</v>
      </c>
      <c r="K251" s="13">
        <v>0</v>
      </c>
      <c r="L251" s="13">
        <v>0</v>
      </c>
      <c r="M251" s="14" t="s">
        <v>45</v>
      </c>
      <c r="N251" s="14" t="s">
        <v>45</v>
      </c>
      <c r="O251" s="13" t="s">
        <v>46</v>
      </c>
      <c r="P251" s="9">
        <f>0.5</f>
        <v>0.5</v>
      </c>
      <c r="Q251" s="9">
        <f>0.9</f>
        <v>0.9</v>
      </c>
      <c r="R251" s="13" t="s">
        <v>46</v>
      </c>
      <c r="S251" s="7" t="s">
        <v>283</v>
      </c>
      <c r="T251" s="10" t="s">
        <v>45</v>
      </c>
    </row>
    <row r="252" spans="1:20" x14ac:dyDescent="0.25">
      <c r="A252" s="7" t="s">
        <v>279</v>
      </c>
      <c r="B252" s="7" t="s">
        <v>94</v>
      </c>
      <c r="C252" s="7" t="s">
        <v>281</v>
      </c>
      <c r="D252" s="7" t="s">
        <v>282</v>
      </c>
      <c r="E252" s="8" t="s">
        <v>151</v>
      </c>
      <c r="F252" s="9">
        <v>304</v>
      </c>
      <c r="G252" s="9">
        <v>674</v>
      </c>
      <c r="H252" s="10">
        <f>(F252+G252)*(1+0.4+0.466*3+0.288+0.18*2)+311</f>
        <v>3681.1879999999996</v>
      </c>
      <c r="I252" s="58">
        <f>1+0.8+0.368</f>
        <v>2.1680000000000001</v>
      </c>
      <c r="K252" s="13">
        <v>0</v>
      </c>
      <c r="L252" s="13">
        <v>0</v>
      </c>
      <c r="M252" s="14" t="s">
        <v>45</v>
      </c>
      <c r="N252" s="14" t="s">
        <v>45</v>
      </c>
      <c r="O252" s="13" t="s">
        <v>46</v>
      </c>
      <c r="P252" s="9">
        <f>0.5</f>
        <v>0.5</v>
      </c>
      <c r="Q252" s="9">
        <f>0.9</f>
        <v>0.9</v>
      </c>
      <c r="R252" s="13" t="s">
        <v>46</v>
      </c>
      <c r="S252" s="7" t="s">
        <v>283</v>
      </c>
      <c r="T252" s="10" t="s">
        <v>45</v>
      </c>
    </row>
    <row r="253" spans="1:20" x14ac:dyDescent="0.25">
      <c r="A253" s="7" t="s">
        <v>279</v>
      </c>
      <c r="B253" s="7" t="s">
        <v>41</v>
      </c>
      <c r="C253" s="7" t="s">
        <v>281</v>
      </c>
      <c r="D253" s="7" t="s">
        <v>282</v>
      </c>
      <c r="E253" s="8" t="s">
        <v>151</v>
      </c>
      <c r="F253" s="9">
        <v>304</v>
      </c>
      <c r="G253" s="9">
        <v>565</v>
      </c>
      <c r="H253" s="10">
        <f>(F253+G253)*(1+0.4+0.466*3+0.288+0.18*2)+311</f>
        <v>3305.5739999999996</v>
      </c>
      <c r="I253" s="58">
        <f>1+0.8+0.306</f>
        <v>2.1059999999999999</v>
      </c>
      <c r="K253" s="13">
        <v>0</v>
      </c>
      <c r="L253" s="13">
        <v>0</v>
      </c>
      <c r="M253" s="14" t="s">
        <v>45</v>
      </c>
      <c r="N253" s="14" t="s">
        <v>45</v>
      </c>
      <c r="O253" s="13" t="s">
        <v>46</v>
      </c>
      <c r="P253" s="9">
        <f>0.5</f>
        <v>0.5</v>
      </c>
      <c r="Q253" s="9">
        <f>0.9</f>
        <v>0.9</v>
      </c>
      <c r="R253" s="13" t="s">
        <v>46</v>
      </c>
      <c r="S253" s="7" t="s">
        <v>283</v>
      </c>
      <c r="T253" s="10" t="s">
        <v>45</v>
      </c>
    </row>
    <row r="255" spans="1:20" x14ac:dyDescent="0.25">
      <c r="A255" s="7" t="s">
        <v>9</v>
      </c>
      <c r="B255" s="7" t="s">
        <v>10</v>
      </c>
      <c r="C255" s="7" t="s">
        <v>11</v>
      </c>
      <c r="D255" s="7" t="s">
        <v>12</v>
      </c>
      <c r="E255" s="8" t="s">
        <v>13</v>
      </c>
      <c r="F255" s="9" t="s">
        <v>14</v>
      </c>
      <c r="G255" s="9" t="s">
        <v>15</v>
      </c>
      <c r="H255" s="10" t="s">
        <v>16</v>
      </c>
      <c r="K255" s="13" t="s">
        <v>19</v>
      </c>
      <c r="L255" s="13" t="s">
        <v>20</v>
      </c>
      <c r="M255" s="14" t="s">
        <v>21</v>
      </c>
      <c r="N255" s="14" t="s">
        <v>22</v>
      </c>
      <c r="O255" s="13" t="s">
        <v>23</v>
      </c>
      <c r="P255" s="9" t="s">
        <v>24</v>
      </c>
      <c r="Q255" s="9" t="s">
        <v>25</v>
      </c>
      <c r="R255" s="13" t="s">
        <v>26</v>
      </c>
      <c r="S255" s="7" t="s">
        <v>27</v>
      </c>
      <c r="T255" s="10" t="s">
        <v>284</v>
      </c>
    </row>
    <row r="256" spans="1:20" x14ac:dyDescent="0.25">
      <c r="A256" s="7" t="s">
        <v>285</v>
      </c>
      <c r="B256" s="7" t="s">
        <v>243</v>
      </c>
      <c r="C256" s="7" t="s">
        <v>286</v>
      </c>
      <c r="D256" s="7" t="s">
        <v>287</v>
      </c>
      <c r="E256" s="8" t="s">
        <v>288</v>
      </c>
      <c r="F256" s="9">
        <v>342</v>
      </c>
      <c r="G256" s="9">
        <v>674</v>
      </c>
      <c r="H256" s="10">
        <f>(F256+G256)*(1+0.3+0.466)+311</f>
        <v>2105.2560000000003</v>
      </c>
      <c r="K256" s="13">
        <f>0.4+0.15</f>
        <v>0.55000000000000004</v>
      </c>
      <c r="L256" s="13">
        <f>38.4%+44.1%</f>
        <v>0.82499999999999996</v>
      </c>
      <c r="M256" s="14">
        <f>63.55%+K256/2+L256/4-11.68%-55%-10%</f>
        <v>0.34994999999999987</v>
      </c>
      <c r="N256" s="14">
        <f>63.55%*2+K256+L256/2+11.68%*2+20%-6.6%*2</f>
        <v>2.5350999999999999</v>
      </c>
      <c r="O256" s="13">
        <f>0.466+0.15+0.18+0.4</f>
        <v>1.1960000000000002</v>
      </c>
      <c r="P256" s="9">
        <f>0.5</f>
        <v>0.5</v>
      </c>
      <c r="Q256" s="9">
        <f>0.9</f>
        <v>0.9</v>
      </c>
      <c r="R256" s="13">
        <f>2.0214</f>
        <v>2.0213999999999999</v>
      </c>
      <c r="S256" s="7" t="s">
        <v>289</v>
      </c>
      <c r="T256" s="10">
        <f>H256*R256*(1+O256)*(1+N256)*P256*Q256</f>
        <v>14866.32860493826</v>
      </c>
    </row>
    <row r="257" spans="1:20" x14ac:dyDescent="0.25">
      <c r="A257" s="7" t="s">
        <v>285</v>
      </c>
      <c r="B257" s="7" t="s">
        <v>205</v>
      </c>
      <c r="C257" s="7" t="s">
        <v>286</v>
      </c>
      <c r="D257" s="7" t="s">
        <v>287</v>
      </c>
      <c r="E257" s="8" t="s">
        <v>288</v>
      </c>
      <c r="F257" s="9">
        <v>342</v>
      </c>
      <c r="G257" s="9">
        <v>454</v>
      </c>
      <c r="H257" s="10">
        <f>(F257+G257)*(1+0.3+0.466+0.551)+311</f>
        <v>2155.3320000000003</v>
      </c>
      <c r="K257" s="13">
        <f>0.15+0.4</f>
        <v>0.55000000000000004</v>
      </c>
      <c r="L257" s="13">
        <f>38.4%</f>
        <v>0.38400000000000001</v>
      </c>
      <c r="M257" s="14">
        <f>63.55%+K257/2+L257/4-0.65%-55%-10%</f>
        <v>0.35</v>
      </c>
      <c r="N257" s="14">
        <f>63.55%*2+K257+L257/2+0.65%*2+20%-6.6%*2</f>
        <v>2.0939999999999999</v>
      </c>
      <c r="O257" s="13">
        <f>0.466+0.15+0.18</f>
        <v>0.79600000000000004</v>
      </c>
      <c r="P257" s="9">
        <f>0.5</f>
        <v>0.5</v>
      </c>
      <c r="Q257" s="9">
        <f>0.9</f>
        <v>0.9</v>
      </c>
      <c r="R257" s="13">
        <f>2.0214</f>
        <v>2.0213999999999999</v>
      </c>
      <c r="S257" s="7" t="s">
        <v>289</v>
      </c>
      <c r="T257" s="10">
        <f>H257*R257*(1+O257)*(1+N257)*P257*Q257</f>
        <v>10894.457116650219</v>
      </c>
    </row>
    <row r="259" spans="1:20" x14ac:dyDescent="0.25">
      <c r="A259" s="7" t="s">
        <v>9</v>
      </c>
      <c r="B259" s="7" t="s">
        <v>10</v>
      </c>
      <c r="C259" s="7" t="s">
        <v>11</v>
      </c>
      <c r="D259" s="7" t="s">
        <v>12</v>
      </c>
      <c r="E259" s="8" t="s">
        <v>13</v>
      </c>
      <c r="F259" s="9" t="s">
        <v>14</v>
      </c>
      <c r="G259" s="9" t="s">
        <v>15</v>
      </c>
      <c r="H259" s="10" t="s">
        <v>16</v>
      </c>
      <c r="J259" s="15"/>
      <c r="K259" s="13" t="s">
        <v>19</v>
      </c>
      <c r="L259" s="13" t="s">
        <v>20</v>
      </c>
      <c r="M259" s="14" t="s">
        <v>21</v>
      </c>
      <c r="N259" s="14" t="s">
        <v>22</v>
      </c>
      <c r="O259" s="13" t="s">
        <v>23</v>
      </c>
      <c r="P259" s="9" t="s">
        <v>24</v>
      </c>
      <c r="Q259" s="9" t="s">
        <v>25</v>
      </c>
      <c r="R259" s="13" t="s">
        <v>26</v>
      </c>
      <c r="S259" s="7" t="s">
        <v>27</v>
      </c>
      <c r="T259" s="10" t="s">
        <v>28</v>
      </c>
    </row>
    <row r="260" spans="1:20" x14ac:dyDescent="0.25">
      <c r="A260" s="7" t="s">
        <v>290</v>
      </c>
      <c r="B260" s="7" t="s">
        <v>291</v>
      </c>
      <c r="C260" s="7" t="s">
        <v>292</v>
      </c>
      <c r="D260" s="7" t="s">
        <v>72</v>
      </c>
      <c r="E260" s="8" t="s">
        <v>288</v>
      </c>
      <c r="F260" s="9">
        <v>342</v>
      </c>
      <c r="G260" s="9">
        <v>741</v>
      </c>
      <c r="H260" s="10">
        <f>(F260+G260)*(1+0.3+0.466+0.16)+311</f>
        <v>2396.8579999999997</v>
      </c>
      <c r="K260" s="13">
        <v>0.15</v>
      </c>
      <c r="L260" s="13">
        <v>0.38400000000000001</v>
      </c>
      <c r="M260" s="14">
        <f>60.25%+K260/2+L260/4-15%</f>
        <v>0.62349999999999994</v>
      </c>
      <c r="N260" s="14">
        <f>60.25%*2+K260+L260/2</f>
        <v>1.5469999999999999</v>
      </c>
      <c r="O260" s="13">
        <f>0.583+0.5+0.207</f>
        <v>1.29</v>
      </c>
      <c r="P260" s="9">
        <f>0.5</f>
        <v>0.5</v>
      </c>
      <c r="Q260" s="9">
        <v>1.0649999999999999</v>
      </c>
      <c r="R260" s="13">
        <f>725.56%+13*148.24%</f>
        <v>26.526800000000001</v>
      </c>
      <c r="S260" s="7" t="s">
        <v>293</v>
      </c>
      <c r="T260" s="10">
        <f>((F260+G260)*(1+0.3+0.466+0.16+0.18+0.2)+311)*R260*(1+O260)*(1+N260)*P260*Q260</f>
        <v>231380.92743819082</v>
      </c>
    </row>
    <row r="261" spans="1:20" x14ac:dyDescent="0.25">
      <c r="A261" s="7" t="s">
        <v>290</v>
      </c>
      <c r="B261" s="7" t="s">
        <v>65</v>
      </c>
      <c r="C261" s="7" t="s">
        <v>292</v>
      </c>
      <c r="D261" s="7" t="s">
        <v>72</v>
      </c>
      <c r="E261" s="8" t="s">
        <v>288</v>
      </c>
      <c r="F261" s="9">
        <v>342</v>
      </c>
      <c r="G261" s="9">
        <v>608</v>
      </c>
      <c r="H261" s="10">
        <f>(F261+G261)*(1+0.3+0.466+0.2+0.496)+311</f>
        <v>2649.8999999999996</v>
      </c>
      <c r="K261" s="13">
        <v>0.15</v>
      </c>
      <c r="L261" s="13">
        <v>0.38400000000000001</v>
      </c>
      <c r="M261" s="14">
        <f>60.25%+K261/2+L261/4-15%</f>
        <v>0.62349999999999994</v>
      </c>
      <c r="N261" s="14">
        <f>60.25%*2+K261+L261/2</f>
        <v>1.5469999999999999</v>
      </c>
      <c r="O261" s="13">
        <f>0.583+0.5</f>
        <v>1.083</v>
      </c>
      <c r="P261" s="9">
        <f>0.5</f>
        <v>0.5</v>
      </c>
      <c r="Q261" s="9">
        <v>1.0649999999999999</v>
      </c>
      <c r="R261" s="13">
        <f>725.56%+13*148.24%</f>
        <v>26.526800000000001</v>
      </c>
      <c r="S261" s="7" t="s">
        <v>293</v>
      </c>
      <c r="T261" s="10">
        <f>((F261+G261)*(1+0.3+0.466+0.2+0.496+0.18)+311)*R261*(1+O261)*(1+N261)*P261*Q261</f>
        <v>211402.62753167227</v>
      </c>
    </row>
    <row r="262" spans="1:20" x14ac:dyDescent="0.25">
      <c r="A262" s="7" t="s">
        <v>290</v>
      </c>
      <c r="B262" s="7" t="s">
        <v>67</v>
      </c>
      <c r="C262" s="7" t="s">
        <v>292</v>
      </c>
      <c r="D262" s="7" t="s">
        <v>72</v>
      </c>
      <c r="E262" s="8" t="s">
        <v>288</v>
      </c>
      <c r="F262" s="9">
        <v>342</v>
      </c>
      <c r="G262" s="9">
        <v>510</v>
      </c>
      <c r="H262" s="10">
        <f>(F262+G262)*(1+0.3+0.466)+311</f>
        <v>1815.6320000000001</v>
      </c>
      <c r="K262" s="13">
        <f>15%+27.6%</f>
        <v>0.42600000000000005</v>
      </c>
      <c r="L262" s="13">
        <f t="shared" ref="L262:L273" si="26">38.4%</f>
        <v>0.38400000000000001</v>
      </c>
      <c r="M262" s="14">
        <v>0.75</v>
      </c>
      <c r="N262" s="14">
        <f>60.25%*2+K262+L262/2+1.15%*2</f>
        <v>1.8460000000000001</v>
      </c>
      <c r="O262" s="13">
        <f>0.583+0.5+0.4</f>
        <v>1.4830000000000001</v>
      </c>
      <c r="P262" s="9">
        <f>0.5</f>
        <v>0.5</v>
      </c>
      <c r="Q262" s="9">
        <v>1.0649999999999999</v>
      </c>
      <c r="R262" s="13">
        <f>725.56%+13*148.24%</f>
        <v>26.526800000000001</v>
      </c>
      <c r="S262" s="7" t="s">
        <v>293</v>
      </c>
      <c r="T262" s="10">
        <f>((F262+G262)*(1+0.3+0.466+0.18)+311)*R262*(1+O262)*(1+N262)*P262*Q262</f>
        <v>196544.11386897101</v>
      </c>
    </row>
    <row r="263" spans="1:20" x14ac:dyDescent="0.25">
      <c r="S263" s="7" t="s">
        <v>294</v>
      </c>
    </row>
    <row r="265" spans="1:20" x14ac:dyDescent="0.25">
      <c r="A265" s="7" t="s">
        <v>9</v>
      </c>
      <c r="B265" s="7" t="s">
        <v>10</v>
      </c>
      <c r="C265" s="7" t="s">
        <v>11</v>
      </c>
      <c r="E265" s="8" t="s">
        <v>13</v>
      </c>
      <c r="F265" s="9" t="s">
        <v>14</v>
      </c>
      <c r="G265" s="9" t="s">
        <v>15</v>
      </c>
      <c r="H265" s="10" t="s">
        <v>16</v>
      </c>
      <c r="J265" s="11" t="s">
        <v>18</v>
      </c>
      <c r="K265" s="13" t="s">
        <v>19</v>
      </c>
      <c r="L265" s="13" t="s">
        <v>20</v>
      </c>
      <c r="M265" s="14" t="s">
        <v>21</v>
      </c>
      <c r="N265" s="14" t="s">
        <v>22</v>
      </c>
      <c r="O265" s="13" t="s">
        <v>23</v>
      </c>
      <c r="P265" s="9" t="s">
        <v>24</v>
      </c>
      <c r="Q265" s="9" t="s">
        <v>25</v>
      </c>
      <c r="R265" s="13" t="s">
        <v>26</v>
      </c>
      <c r="S265" s="7" t="s">
        <v>27</v>
      </c>
      <c r="T265" s="10" t="s">
        <v>28</v>
      </c>
    </row>
    <row r="266" spans="1:20" x14ac:dyDescent="0.25">
      <c r="A266" s="7" t="s">
        <v>295</v>
      </c>
      <c r="B266" s="7" t="s">
        <v>86</v>
      </c>
      <c r="C266" s="7" t="s">
        <v>286</v>
      </c>
      <c r="D266" s="7" t="s">
        <v>287</v>
      </c>
      <c r="E266" s="8" t="s">
        <v>199</v>
      </c>
      <c r="F266" s="9">
        <f>335</f>
        <v>335</v>
      </c>
      <c r="G266" s="9">
        <f>608</f>
        <v>608</v>
      </c>
      <c r="H266" s="10">
        <f>(F266+G266)*(1+0.3+0.466+0.496)+311</f>
        <v>2444.0659999999998</v>
      </c>
      <c r="K266" s="13">
        <f>0.2+0.4+0.15</f>
        <v>0.75000000000000011</v>
      </c>
      <c r="L266" s="13">
        <f t="shared" si="26"/>
        <v>0.38400000000000001</v>
      </c>
      <c r="M266" s="14">
        <f>63.55%+K266/2+L266/4-10.65%-75%</f>
        <v>0.25</v>
      </c>
      <c r="N266" s="14">
        <f>63.55%*2+K266+L266/2+10.65%*2-6.6%*2</f>
        <v>2.294</v>
      </c>
      <c r="O266" s="13">
        <f>0.466+0.15+0.12+0.4</f>
        <v>1.1360000000000001</v>
      </c>
      <c r="P266" s="9">
        <f t="shared" ref="P266:P274" si="27">0.5</f>
        <v>0.5</v>
      </c>
      <c r="Q266" s="9">
        <f t="shared" ref="Q266:Q274" si="28">0.9</f>
        <v>0.9</v>
      </c>
      <c r="R266" s="13">
        <v>3.9167999999999998</v>
      </c>
      <c r="S266" s="12" t="s">
        <v>296</v>
      </c>
      <c r="T266" s="10">
        <f>H266*R266*(1+O266)*(1+N266)*P266*Q266</f>
        <v>30309.703124595053</v>
      </c>
    </row>
    <row r="267" spans="1:20" x14ac:dyDescent="0.25">
      <c r="A267" s="7" t="s">
        <v>295</v>
      </c>
      <c r="B267" s="12" t="s">
        <v>297</v>
      </c>
      <c r="C267" s="7" t="s">
        <v>286</v>
      </c>
      <c r="D267" s="7" t="s">
        <v>287</v>
      </c>
      <c r="E267" s="8" t="s">
        <v>199</v>
      </c>
      <c r="F267" s="9">
        <f>335</f>
        <v>335</v>
      </c>
      <c r="G267" s="9">
        <v>454</v>
      </c>
      <c r="H267" s="10">
        <f>(F267+G267)*(1+0.3+0.466+0.551)+311</f>
        <v>2139.1130000000003</v>
      </c>
      <c r="I267" s="60"/>
      <c r="K267" s="13">
        <f>0.2+0.4+0.15</f>
        <v>0.75000000000000011</v>
      </c>
      <c r="L267" s="13">
        <f t="shared" si="26"/>
        <v>0.38400000000000001</v>
      </c>
      <c r="M267" s="14">
        <f>63.55%+K267/2+L267/4-10.65%-75%</f>
        <v>0.25</v>
      </c>
      <c r="N267" s="14">
        <f>63.55%*2+K267+L267/2+10.65%*2-6.6%*2</f>
        <v>2.294</v>
      </c>
      <c r="O267" s="13">
        <f>0.466+0.15+0.18*2</f>
        <v>0.97599999999999998</v>
      </c>
      <c r="P267" s="9">
        <f t="shared" si="27"/>
        <v>0.5</v>
      </c>
      <c r="Q267" s="9">
        <f t="shared" si="28"/>
        <v>0.9</v>
      </c>
      <c r="R267" s="13">
        <v>3.9167999999999998</v>
      </c>
      <c r="S267" s="12" t="s">
        <v>296</v>
      </c>
      <c r="T267" s="10">
        <f>H267*R267*(1+O267)*(1+N267)*P267*Q267</f>
        <v>24540.769257763008</v>
      </c>
    </row>
    <row r="268" spans="1:20" x14ac:dyDescent="0.25">
      <c r="A268" s="7" t="s">
        <v>295</v>
      </c>
      <c r="B268" s="12" t="s">
        <v>154</v>
      </c>
      <c r="C268" s="7" t="s">
        <v>286</v>
      </c>
      <c r="D268" s="7" t="s">
        <v>287</v>
      </c>
      <c r="E268" s="8" t="s">
        <v>199</v>
      </c>
      <c r="F268" s="9">
        <f>335</f>
        <v>335</v>
      </c>
      <c r="G268" s="9">
        <v>674</v>
      </c>
      <c r="H268" s="10">
        <f>(F268+G268)*(1+0.3+0.466)+311</f>
        <v>2092.8940000000002</v>
      </c>
      <c r="I268" s="60"/>
      <c r="K268" s="13">
        <f>0.2+0.4+0.15+22.1%</f>
        <v>0.97100000000000009</v>
      </c>
      <c r="L268" s="13">
        <f>38.4%+20%</f>
        <v>0.58400000000000007</v>
      </c>
      <c r="M268" s="14">
        <f>63.55%+K268/2+L268/4-10.65%-75%-1.05%</f>
        <v>0.39999999999999986</v>
      </c>
      <c r="N268" s="14">
        <f>63.55%*2+K268+L268/2+10.65%*2-6.6%*2+1.05%</f>
        <v>2.6254999999999997</v>
      </c>
      <c r="O268" s="13">
        <f>0.466+0.15</f>
        <v>0.61599999999999999</v>
      </c>
      <c r="P268" s="9">
        <f t="shared" si="27"/>
        <v>0.5</v>
      </c>
      <c r="Q268" s="9">
        <f t="shared" si="28"/>
        <v>0.9</v>
      </c>
      <c r="R268" s="13">
        <v>3.9167999999999998</v>
      </c>
      <c r="S268" s="12" t="s">
        <v>296</v>
      </c>
      <c r="T268" s="10">
        <f>H268*R268*(1+O268)*(1+N268)*P268*Q268</f>
        <v>21612.271206342022</v>
      </c>
    </row>
    <row r="269" spans="1:20" x14ac:dyDescent="0.25">
      <c r="B269" s="12"/>
      <c r="I269" s="60"/>
      <c r="S269" s="12"/>
    </row>
    <row r="270" spans="1:20" x14ac:dyDescent="0.25">
      <c r="A270" s="7" t="s">
        <v>9</v>
      </c>
      <c r="B270" s="7" t="s">
        <v>10</v>
      </c>
      <c r="C270" s="7" t="s">
        <v>11</v>
      </c>
      <c r="E270" s="8" t="s">
        <v>13</v>
      </c>
      <c r="F270" s="9" t="s">
        <v>14</v>
      </c>
      <c r="G270" s="9" t="s">
        <v>15</v>
      </c>
      <c r="H270" s="10" t="s">
        <v>16</v>
      </c>
      <c r="J270" s="11" t="s">
        <v>18</v>
      </c>
      <c r="K270" s="13" t="s">
        <v>19</v>
      </c>
      <c r="L270" s="13" t="s">
        <v>20</v>
      </c>
      <c r="M270" s="14" t="s">
        <v>21</v>
      </c>
      <c r="N270" s="14" t="s">
        <v>22</v>
      </c>
      <c r="O270" s="13" t="s">
        <v>23</v>
      </c>
      <c r="P270" s="9" t="s">
        <v>24</v>
      </c>
      <c r="Q270" s="9" t="s">
        <v>25</v>
      </c>
      <c r="R270" s="13" t="s">
        <v>26</v>
      </c>
      <c r="S270" s="7" t="s">
        <v>27</v>
      </c>
      <c r="T270" s="10" t="s">
        <v>28</v>
      </c>
    </row>
    <row r="271" spans="1:20" x14ac:dyDescent="0.25">
      <c r="A271" s="7" t="s">
        <v>295</v>
      </c>
      <c r="B271" s="7" t="s">
        <v>86</v>
      </c>
      <c r="C271" s="7" t="s">
        <v>58</v>
      </c>
      <c r="D271" s="7" t="s">
        <v>287</v>
      </c>
      <c r="E271" s="8" t="s">
        <v>199</v>
      </c>
      <c r="F271" s="9">
        <f>335</f>
        <v>335</v>
      </c>
      <c r="G271" s="9">
        <f>608</f>
        <v>608</v>
      </c>
      <c r="H271" s="10">
        <f>(F271+G271)*(1+0.3+0.466+0.496)+311</f>
        <v>2444.0659999999998</v>
      </c>
      <c r="I271" s="60"/>
      <c r="J271" s="12">
        <f>80</f>
        <v>80</v>
      </c>
      <c r="K271" s="13">
        <f>0.2+0.15</f>
        <v>0.35</v>
      </c>
      <c r="L271" s="13">
        <f t="shared" si="26"/>
        <v>0.38400000000000001</v>
      </c>
      <c r="M271" s="14">
        <f>60.25%+K271/2+L271/4-35%</f>
        <v>0.52350000000000008</v>
      </c>
      <c r="N271" s="14">
        <f t="shared" ref="N271:N278" si="29">60.25%*2+K271+L271/2</f>
        <v>1.7470000000000001</v>
      </c>
      <c r="O271" s="13">
        <f>0.466+0.35+0.12+0.4</f>
        <v>1.3360000000000001</v>
      </c>
      <c r="P271" s="9">
        <f t="shared" si="27"/>
        <v>0.5</v>
      </c>
      <c r="Q271" s="9">
        <f t="shared" si="28"/>
        <v>0.9</v>
      </c>
      <c r="R271" s="13">
        <v>3.9167999999999998</v>
      </c>
      <c r="S271" s="12" t="s">
        <v>298</v>
      </c>
      <c r="T271" s="10">
        <f>H271*R271*(1+O271)*(1+N271)*P271*Q271*1.5*(1+(2.78*J271)/(J271+1400))</f>
        <v>47695.729048067959</v>
      </c>
    </row>
    <row r="272" spans="1:20" x14ac:dyDescent="0.25">
      <c r="A272" s="7" t="s">
        <v>295</v>
      </c>
      <c r="B272" s="7" t="s">
        <v>86</v>
      </c>
      <c r="C272" s="7" t="s">
        <v>58</v>
      </c>
      <c r="D272" s="12" t="s">
        <v>299</v>
      </c>
      <c r="E272" s="8" t="s">
        <v>199</v>
      </c>
      <c r="F272" s="9">
        <f>335</f>
        <v>335</v>
      </c>
      <c r="G272" s="9">
        <f>608</f>
        <v>608</v>
      </c>
      <c r="H272" s="10">
        <f>(F272+G272)*(1+0.3+0.496)+311</f>
        <v>2004.6279999999999</v>
      </c>
      <c r="I272" s="60"/>
      <c r="J272" s="12">
        <f>80+187</f>
        <v>267</v>
      </c>
      <c r="K272" s="13">
        <f>0.2+0.15</f>
        <v>0.35</v>
      </c>
      <c r="L272" s="13">
        <f t="shared" si="26"/>
        <v>0.38400000000000001</v>
      </c>
      <c r="M272" s="14">
        <f>60.25%+K272/2+L272/4-35%</f>
        <v>0.52350000000000008</v>
      </c>
      <c r="N272" s="14">
        <f t="shared" si="29"/>
        <v>1.7470000000000001</v>
      </c>
      <c r="O272" s="13">
        <f>0.466+0.35+0.12+0.4</f>
        <v>1.3360000000000001</v>
      </c>
      <c r="P272" s="9">
        <f t="shared" si="27"/>
        <v>0.5</v>
      </c>
      <c r="Q272" s="9">
        <f t="shared" si="28"/>
        <v>0.9</v>
      </c>
      <c r="R272" s="13">
        <v>3.9167999999999998</v>
      </c>
      <c r="S272" s="12" t="s">
        <v>298</v>
      </c>
      <c r="T272" s="10">
        <f>H272*R272*(1+O272)*(1+N272)*P272*Q272*1.5*(1+(2.78*J272)/(J272+1400))</f>
        <v>49152.83020229909</v>
      </c>
    </row>
    <row r="273" spans="1:20" x14ac:dyDescent="0.25">
      <c r="A273" s="7" t="s">
        <v>295</v>
      </c>
      <c r="B273" s="12" t="s">
        <v>297</v>
      </c>
      <c r="C273" s="7" t="s">
        <v>58</v>
      </c>
      <c r="D273" s="7" t="s">
        <v>287</v>
      </c>
      <c r="E273" s="8" t="s">
        <v>199</v>
      </c>
      <c r="F273" s="9">
        <f>335</f>
        <v>335</v>
      </c>
      <c r="G273" s="9">
        <v>454</v>
      </c>
      <c r="H273" s="10">
        <f>(F273+G273)*(1+0.3+0.466+0.551)+311</f>
        <v>2139.1130000000003</v>
      </c>
      <c r="I273" s="60"/>
      <c r="J273" s="12">
        <f>80</f>
        <v>80</v>
      </c>
      <c r="K273" s="13">
        <f>0.2+0.15</f>
        <v>0.35</v>
      </c>
      <c r="L273" s="13">
        <f t="shared" si="26"/>
        <v>0.38400000000000001</v>
      </c>
      <c r="M273" s="14">
        <f>60.25%+K273/2+L273/4-35%</f>
        <v>0.52350000000000008</v>
      </c>
      <c r="N273" s="14">
        <f t="shared" si="29"/>
        <v>1.7470000000000001</v>
      </c>
      <c r="O273" s="13">
        <f>0.466+0.35+0.18*2</f>
        <v>1.1760000000000002</v>
      </c>
      <c r="P273" s="9">
        <f t="shared" si="27"/>
        <v>0.5</v>
      </c>
      <c r="Q273" s="9">
        <f t="shared" si="28"/>
        <v>0.9</v>
      </c>
      <c r="R273" s="13">
        <v>3.9167999999999998</v>
      </c>
      <c r="S273" s="12" t="s">
        <v>298</v>
      </c>
      <c r="T273" s="10">
        <f>H273*R273*(1+O273)*(1+N273)*P273*Q273*1.5*(1+(2.78*J273)/(J273+1400))</f>
        <v>38885.379490859355</v>
      </c>
    </row>
    <row r="274" spans="1:20" x14ac:dyDescent="0.25">
      <c r="A274" s="7" t="s">
        <v>295</v>
      </c>
      <c r="B274" s="12" t="s">
        <v>154</v>
      </c>
      <c r="C274" s="7" t="s">
        <v>58</v>
      </c>
      <c r="D274" s="7" t="s">
        <v>287</v>
      </c>
      <c r="E274" s="8" t="s">
        <v>199</v>
      </c>
      <c r="F274" s="9">
        <f>335</f>
        <v>335</v>
      </c>
      <c r="G274" s="9">
        <v>674</v>
      </c>
      <c r="H274" s="10">
        <f>(F274+G274)*(1+0.3+0.466)+311</f>
        <v>2092.8940000000002</v>
      </c>
      <c r="I274" s="60"/>
      <c r="J274" s="12">
        <f>80</f>
        <v>80</v>
      </c>
      <c r="K274" s="13">
        <f>0.2+0.15+22.1%</f>
        <v>0.57099999999999995</v>
      </c>
      <c r="L274" s="13">
        <f>38.4%+20%</f>
        <v>0.58400000000000007</v>
      </c>
      <c r="M274" s="14">
        <f>60.25%+K274/2+L274/4-35%-3.4%</f>
        <v>0.65</v>
      </c>
      <c r="N274" s="14">
        <f>60.25%*2+K274+L274/2+3.4%*2</f>
        <v>2.1360000000000001</v>
      </c>
      <c r="O274" s="13">
        <f>0.466+0.35</f>
        <v>0.81600000000000006</v>
      </c>
      <c r="P274" s="9">
        <f t="shared" si="27"/>
        <v>0.5</v>
      </c>
      <c r="Q274" s="9">
        <f t="shared" si="28"/>
        <v>0.9</v>
      </c>
      <c r="R274" s="13">
        <v>3.9167999999999998</v>
      </c>
      <c r="S274" s="12" t="s">
        <v>298</v>
      </c>
      <c r="T274" s="10">
        <f>H274*R274*(1+O274)*(1+N274)*P274*Q274*1.5*(1+(2.78*J274)/(J274+1400))</f>
        <v>36247.177565843718</v>
      </c>
    </row>
    <row r="276" spans="1:20" x14ac:dyDescent="0.25">
      <c r="A276" s="7" t="s">
        <v>9</v>
      </c>
      <c r="B276" s="7" t="s">
        <v>10</v>
      </c>
      <c r="C276" s="7" t="s">
        <v>11</v>
      </c>
      <c r="D276" s="7" t="s">
        <v>12</v>
      </c>
      <c r="E276" s="8" t="s">
        <v>13</v>
      </c>
      <c r="F276" s="9" t="s">
        <v>14</v>
      </c>
      <c r="G276" s="9" t="s">
        <v>15</v>
      </c>
      <c r="H276" s="10" t="s">
        <v>16</v>
      </c>
      <c r="I276" s="11" t="s">
        <v>39</v>
      </c>
      <c r="J276" s="15"/>
      <c r="K276" s="13" t="s">
        <v>19</v>
      </c>
      <c r="L276" s="13" t="s">
        <v>20</v>
      </c>
      <c r="M276" s="14" t="s">
        <v>21</v>
      </c>
      <c r="N276" s="14" t="s">
        <v>22</v>
      </c>
      <c r="O276" s="13" t="s">
        <v>23</v>
      </c>
      <c r="P276" s="9" t="s">
        <v>24</v>
      </c>
      <c r="Q276" s="9" t="s">
        <v>25</v>
      </c>
      <c r="R276" s="13" t="s">
        <v>26</v>
      </c>
      <c r="S276" s="7" t="s">
        <v>27</v>
      </c>
      <c r="T276" s="10" t="s">
        <v>28</v>
      </c>
    </row>
    <row r="277" spans="1:20" x14ac:dyDescent="0.25">
      <c r="A277" s="7" t="s">
        <v>300</v>
      </c>
      <c r="B277" s="7" t="s">
        <v>208</v>
      </c>
      <c r="C277" s="7" t="s">
        <v>90</v>
      </c>
      <c r="D277" s="7" t="s">
        <v>287</v>
      </c>
      <c r="E277" s="8" t="s">
        <v>301</v>
      </c>
      <c r="F277" s="9">
        <v>223</v>
      </c>
      <c r="G277" s="9">
        <v>454</v>
      </c>
      <c r="H277" s="10">
        <f>(G277+F277)*(1+0.3+0.466)+311</f>
        <v>1506.5820000000001</v>
      </c>
      <c r="I277" s="15">
        <f>1+0.2+0.613+0.2+0.267</f>
        <v>2.2799999999999998</v>
      </c>
      <c r="K277" s="13">
        <v>0.15</v>
      </c>
      <c r="L277" s="13">
        <v>0</v>
      </c>
      <c r="M277" s="14">
        <f t="shared" ref="M277:M282" si="30">60.25%+K277/2+L277/4-15%</f>
        <v>0.52749999999999997</v>
      </c>
      <c r="N277" s="14">
        <f t="shared" si="29"/>
        <v>1.355</v>
      </c>
      <c r="O277" s="13">
        <f>0.466+0.25*I277</f>
        <v>1.036</v>
      </c>
      <c r="P277" s="9">
        <v>0.5</v>
      </c>
      <c r="Q277" s="9">
        <v>0.9</v>
      </c>
      <c r="R277" s="13">
        <v>1.649</v>
      </c>
      <c r="S277" s="7" t="s">
        <v>257</v>
      </c>
      <c r="T277" s="10">
        <f t="shared" ref="T277:T282" si="31">H277*R277*(1+O277)*(1+N277)*P277*Q277</f>
        <v>5360.3682839964176</v>
      </c>
    </row>
    <row r="278" spans="1:20" x14ac:dyDescent="0.25">
      <c r="A278" s="7" t="s">
        <v>300</v>
      </c>
      <c r="B278" s="7" t="s">
        <v>110</v>
      </c>
      <c r="C278" s="7" t="s">
        <v>90</v>
      </c>
      <c r="D278" s="7" t="s">
        <v>302</v>
      </c>
      <c r="E278" s="8" t="s">
        <v>301</v>
      </c>
      <c r="F278" s="9">
        <v>223</v>
      </c>
      <c r="G278" s="9">
        <v>542</v>
      </c>
      <c r="H278" s="10">
        <f>(G278+F278)*(1+0.3)+311+1.2%*(11636*(1+0.2+0.2)+4780)</f>
        <v>1558.3448000000001</v>
      </c>
      <c r="I278" s="15">
        <f>1+0.2+0.518+0.2+0.267</f>
        <v>2.1850000000000001</v>
      </c>
      <c r="K278" s="13">
        <f>44.1%+15%</f>
        <v>0.59099999999999997</v>
      </c>
      <c r="L278" s="13">
        <v>0</v>
      </c>
      <c r="M278" s="14">
        <f t="shared" si="30"/>
        <v>0.748</v>
      </c>
      <c r="N278" s="14">
        <f t="shared" si="29"/>
        <v>1.796</v>
      </c>
      <c r="O278" s="13">
        <f>0.466+0.25*I278</f>
        <v>1.0122500000000001</v>
      </c>
      <c r="P278" s="9">
        <v>0.5</v>
      </c>
      <c r="Q278" s="9">
        <v>0.9</v>
      </c>
      <c r="R278" s="13">
        <v>1.649</v>
      </c>
      <c r="S278" s="7" t="s">
        <v>257</v>
      </c>
      <c r="T278" s="10">
        <f t="shared" si="31"/>
        <v>6506.0265120433096</v>
      </c>
    </row>
    <row r="280" spans="1:20" x14ac:dyDescent="0.25">
      <c r="A280" s="7" t="s">
        <v>9</v>
      </c>
      <c r="B280" s="7" t="s">
        <v>10</v>
      </c>
      <c r="C280" s="7" t="s">
        <v>11</v>
      </c>
      <c r="D280" s="7" t="s">
        <v>12</v>
      </c>
      <c r="E280" s="8" t="s">
        <v>13</v>
      </c>
      <c r="F280" s="9" t="s">
        <v>14</v>
      </c>
      <c r="G280" s="9" t="s">
        <v>15</v>
      </c>
      <c r="H280" s="10" t="s">
        <v>16</v>
      </c>
      <c r="J280" s="15"/>
      <c r="K280" s="13" t="s">
        <v>19</v>
      </c>
      <c r="L280" s="13" t="s">
        <v>20</v>
      </c>
      <c r="M280" s="14" t="s">
        <v>21</v>
      </c>
      <c r="N280" s="14" t="s">
        <v>22</v>
      </c>
      <c r="O280" s="13" t="s">
        <v>23</v>
      </c>
      <c r="P280" s="9" t="s">
        <v>24</v>
      </c>
      <c r="Q280" s="9" t="s">
        <v>25</v>
      </c>
      <c r="R280" s="13" t="s">
        <v>26</v>
      </c>
      <c r="S280" s="7" t="s">
        <v>27</v>
      </c>
      <c r="T280" s="10" t="s">
        <v>28</v>
      </c>
    </row>
    <row r="281" spans="1:20" x14ac:dyDescent="0.25">
      <c r="A281" s="7" t="s">
        <v>303</v>
      </c>
      <c r="B281" s="7" t="s">
        <v>65</v>
      </c>
      <c r="C281" s="7" t="s">
        <v>304</v>
      </c>
      <c r="D281" s="7" t="s">
        <v>287</v>
      </c>
      <c r="E281" s="8" t="s">
        <v>301</v>
      </c>
      <c r="F281" s="9">
        <v>223</v>
      </c>
      <c r="G281" s="9">
        <f>608</f>
        <v>608</v>
      </c>
      <c r="H281" s="10">
        <f>(F281+G281)*(1+0.3+0.466+0.496+0.2+0.24)+311</f>
        <v>2556.3620000000001</v>
      </c>
      <c r="K281" s="13">
        <v>0.15</v>
      </c>
      <c r="L281" s="13">
        <v>0</v>
      </c>
      <c r="M281" s="14">
        <f t="shared" si="30"/>
        <v>0.52749999999999997</v>
      </c>
      <c r="N281" s="14">
        <f>60.25%*2+K281+L281/2</f>
        <v>1.355</v>
      </c>
      <c r="O281" s="13">
        <f>0.466+0.35</f>
        <v>0.81600000000000006</v>
      </c>
      <c r="P281" s="9">
        <f t="shared" ref="P281:P287" si="32">0.5</f>
        <v>0.5</v>
      </c>
      <c r="Q281" s="9">
        <f t="shared" ref="Q281:Q287" si="33">0.9</f>
        <v>0.9</v>
      </c>
      <c r="R281" s="13">
        <v>3.0260000000000002</v>
      </c>
      <c r="S281" s="7" t="s">
        <v>257</v>
      </c>
      <c r="T281" s="10">
        <f t="shared" si="31"/>
        <v>14887.115105702473</v>
      </c>
    </row>
    <row r="282" spans="1:20" x14ac:dyDescent="0.25">
      <c r="A282" s="7" t="s">
        <v>303</v>
      </c>
      <c r="B282" s="7" t="s">
        <v>67</v>
      </c>
      <c r="C282" s="7" t="s">
        <v>304</v>
      </c>
      <c r="D282" s="7" t="s">
        <v>287</v>
      </c>
      <c r="E282" s="8" t="s">
        <v>301</v>
      </c>
      <c r="F282" s="9">
        <v>223</v>
      </c>
      <c r="G282" s="9">
        <v>510</v>
      </c>
      <c r="H282" s="10">
        <f>(F282+G282)*(1+0.3+0.466+0.24)+311</f>
        <v>1781.3980000000001</v>
      </c>
      <c r="K282" s="13">
        <f>15%+27.6%</f>
        <v>0.42600000000000005</v>
      </c>
      <c r="L282" s="13">
        <v>0</v>
      </c>
      <c r="M282" s="14">
        <f t="shared" si="30"/>
        <v>0.66550000000000009</v>
      </c>
      <c r="N282" s="14">
        <f>60.25%*2+K282+L282/2</f>
        <v>1.6310000000000002</v>
      </c>
      <c r="O282" s="13">
        <f>0.466+0.35+0.4</f>
        <v>1.2160000000000002</v>
      </c>
      <c r="P282" s="9">
        <f t="shared" si="32"/>
        <v>0.5</v>
      </c>
      <c r="Q282" s="9">
        <f t="shared" si="33"/>
        <v>0.9</v>
      </c>
      <c r="R282" s="13">
        <v>3.0260000000000002</v>
      </c>
      <c r="S282" s="7" t="s">
        <v>257</v>
      </c>
      <c r="T282" s="10">
        <f t="shared" si="31"/>
        <v>14142.721913956359</v>
      </c>
    </row>
    <row r="284" spans="1:20" x14ac:dyDescent="0.25">
      <c r="A284" s="7" t="s">
        <v>9</v>
      </c>
      <c r="B284" s="7" t="s">
        <v>10</v>
      </c>
      <c r="C284" s="7" t="s">
        <v>11</v>
      </c>
      <c r="D284" s="7" t="s">
        <v>12</v>
      </c>
      <c r="E284" s="8" t="s">
        <v>13</v>
      </c>
      <c r="F284" s="9" t="s">
        <v>14</v>
      </c>
      <c r="G284" s="9" t="s">
        <v>15</v>
      </c>
      <c r="H284" s="10" t="s">
        <v>16</v>
      </c>
      <c r="I284" s="11" t="s">
        <v>136</v>
      </c>
      <c r="J284" s="15"/>
      <c r="K284" s="13" t="s">
        <v>19</v>
      </c>
      <c r="L284" s="13" t="s">
        <v>20</v>
      </c>
      <c r="M284" s="14" t="s">
        <v>21</v>
      </c>
      <c r="N284" s="14" t="s">
        <v>22</v>
      </c>
      <c r="O284" s="13" t="s">
        <v>23</v>
      </c>
      <c r="P284" s="9" t="s">
        <v>24</v>
      </c>
      <c r="Q284" s="9" t="s">
        <v>25</v>
      </c>
      <c r="R284" s="13" t="s">
        <v>26</v>
      </c>
      <c r="S284" s="7" t="s">
        <v>27</v>
      </c>
      <c r="T284" s="10" t="s">
        <v>28</v>
      </c>
    </row>
    <row r="285" spans="1:20" x14ac:dyDescent="0.25">
      <c r="A285" s="7" t="s">
        <v>305</v>
      </c>
      <c r="B285" s="7" t="s">
        <v>157</v>
      </c>
      <c r="C285" s="7" t="s">
        <v>139</v>
      </c>
      <c r="D285" s="7" t="s">
        <v>206</v>
      </c>
      <c r="E285" s="8" t="s">
        <v>306</v>
      </c>
      <c r="F285" s="9">
        <v>287</v>
      </c>
      <c r="G285" s="9">
        <v>454</v>
      </c>
      <c r="H285" s="10">
        <f>(F285+G285)*(1+0.3+0.466*2)+311</f>
        <v>1964.9120000000003</v>
      </c>
      <c r="I285" s="15">
        <f>0.358+0.222+0.15</f>
        <v>0.73</v>
      </c>
      <c r="K285" s="13">
        <v>0</v>
      </c>
      <c r="L285" s="13">
        <v>0</v>
      </c>
      <c r="M285" s="14" t="s">
        <v>45</v>
      </c>
      <c r="N285" s="14" t="s">
        <v>45</v>
      </c>
      <c r="O285" s="13">
        <v>0</v>
      </c>
      <c r="P285" s="9">
        <f t="shared" si="32"/>
        <v>0.5</v>
      </c>
      <c r="Q285" s="9">
        <f t="shared" si="33"/>
        <v>0.9</v>
      </c>
      <c r="R285" s="13">
        <v>1.53</v>
      </c>
      <c r="S285" s="7" t="s">
        <v>307</v>
      </c>
      <c r="T285" s="10">
        <f>(H285*R285+1174)*(1+I285)</f>
        <v>7231.9455728000012</v>
      </c>
    </row>
    <row r="286" spans="1:20" x14ac:dyDescent="0.25">
      <c r="A286" s="7" t="s">
        <v>305</v>
      </c>
      <c r="B286" s="7" t="s">
        <v>97</v>
      </c>
      <c r="C286" s="7" t="s">
        <v>139</v>
      </c>
      <c r="D286" s="7" t="s">
        <v>206</v>
      </c>
      <c r="E286" s="8" t="s">
        <v>306</v>
      </c>
      <c r="F286" s="9">
        <v>287</v>
      </c>
      <c r="G286" s="9">
        <v>674</v>
      </c>
      <c r="H286" s="10">
        <f>(F286+G286)*(1+0.3+0.466*2+0.2)+311</f>
        <v>2648.1520000000005</v>
      </c>
      <c r="I286" s="15">
        <f>0.358+0.222+0.15</f>
        <v>0.73</v>
      </c>
      <c r="K286" s="13">
        <v>0</v>
      </c>
      <c r="L286" s="13">
        <v>0</v>
      </c>
      <c r="M286" s="14" t="s">
        <v>45</v>
      </c>
      <c r="N286" s="14" t="s">
        <v>45</v>
      </c>
      <c r="O286" s="13">
        <v>0</v>
      </c>
      <c r="P286" s="9">
        <f t="shared" si="32"/>
        <v>0.5</v>
      </c>
      <c r="Q286" s="9">
        <f t="shared" si="33"/>
        <v>0.9</v>
      </c>
      <c r="R286" s="13">
        <v>1.53</v>
      </c>
      <c r="S286" s="7" t="s">
        <v>307</v>
      </c>
      <c r="T286" s="10">
        <f>(H286*R286+1174)*(1+I286)</f>
        <v>9040.4135288000016</v>
      </c>
    </row>
    <row r="287" spans="1:20" x14ac:dyDescent="0.25">
      <c r="A287" s="7" t="s">
        <v>305</v>
      </c>
      <c r="B287" s="7" t="s">
        <v>308</v>
      </c>
      <c r="C287" s="7" t="s">
        <v>139</v>
      </c>
      <c r="D287" s="7" t="s">
        <v>206</v>
      </c>
      <c r="E287" s="8" t="s">
        <v>306</v>
      </c>
      <c r="F287" s="9">
        <v>287</v>
      </c>
      <c r="G287" s="9">
        <v>510</v>
      </c>
      <c r="H287" s="10">
        <f>(F287+G287)*(1+0.3+0.466*2+0.413)+311</f>
        <v>2419.0650000000001</v>
      </c>
      <c r="I287" s="15">
        <f>0.358+0.222+0.15</f>
        <v>0.73</v>
      </c>
      <c r="K287" s="13">
        <v>0</v>
      </c>
      <c r="L287" s="13">
        <v>0</v>
      </c>
      <c r="M287" s="14" t="s">
        <v>45</v>
      </c>
      <c r="N287" s="14" t="s">
        <v>45</v>
      </c>
      <c r="O287" s="13">
        <v>0</v>
      </c>
      <c r="P287" s="9">
        <f t="shared" si="32"/>
        <v>0.5</v>
      </c>
      <c r="Q287" s="9">
        <f t="shared" si="33"/>
        <v>0.9</v>
      </c>
      <c r="R287" s="13">
        <v>1.53</v>
      </c>
      <c r="S287" s="7" t="s">
        <v>307</v>
      </c>
      <c r="T287" s="10">
        <f>(H287*R287+1174)*(1+I287)</f>
        <v>8434.0431485000008</v>
      </c>
    </row>
    <row r="289" spans="1:20" x14ac:dyDescent="0.25">
      <c r="A289" s="7" t="s">
        <v>9</v>
      </c>
      <c r="B289" s="7" t="s">
        <v>10</v>
      </c>
      <c r="C289" s="7" t="s">
        <v>11</v>
      </c>
      <c r="D289" s="7" t="s">
        <v>12</v>
      </c>
      <c r="E289" s="8" t="s">
        <v>13</v>
      </c>
      <c r="F289" s="9" t="s">
        <v>14</v>
      </c>
      <c r="G289" s="9" t="s">
        <v>15</v>
      </c>
      <c r="H289" s="10" t="s">
        <v>16</v>
      </c>
      <c r="I289" s="11" t="s">
        <v>99</v>
      </c>
      <c r="J289" s="15"/>
      <c r="K289" s="13" t="s">
        <v>19</v>
      </c>
      <c r="L289" s="13" t="s">
        <v>20</v>
      </c>
      <c r="M289" s="14" t="s">
        <v>21</v>
      </c>
      <c r="N289" s="14" t="s">
        <v>22</v>
      </c>
      <c r="O289" s="13" t="s">
        <v>23</v>
      </c>
      <c r="P289" s="9" t="s">
        <v>24</v>
      </c>
      <c r="Q289" s="9" t="s">
        <v>25</v>
      </c>
      <c r="R289" s="13" t="s">
        <v>26</v>
      </c>
      <c r="S289" s="7" t="s">
        <v>27</v>
      </c>
      <c r="T289" s="10" t="s">
        <v>28</v>
      </c>
    </row>
    <row r="290" spans="1:20" x14ac:dyDescent="0.25">
      <c r="A290" s="7" t="s">
        <v>309</v>
      </c>
      <c r="B290" s="7" t="s">
        <v>241</v>
      </c>
      <c r="C290" s="7" t="s">
        <v>310</v>
      </c>
      <c r="D290" s="7" t="s">
        <v>107</v>
      </c>
      <c r="E290" s="8" t="s">
        <v>239</v>
      </c>
      <c r="F290" s="9">
        <v>212</v>
      </c>
      <c r="G290" s="9">
        <v>565</v>
      </c>
      <c r="H290" s="10">
        <f>(F290+G290)*(1+0.2)+311</f>
        <v>1243.4000000000001</v>
      </c>
      <c r="I290" s="11">
        <f>9570*(1+0.466*3+0.048*8+0.2)+4780</f>
        <v>33317.740000000005</v>
      </c>
      <c r="K290" s="13">
        <v>0</v>
      </c>
      <c r="L290" s="13">
        <v>0</v>
      </c>
      <c r="M290" s="14" t="s">
        <v>45</v>
      </c>
      <c r="N290" s="14" t="s">
        <v>45</v>
      </c>
      <c r="O290" s="13">
        <v>0</v>
      </c>
      <c r="P290" s="9">
        <f>0.5</f>
        <v>0.5</v>
      </c>
      <c r="Q290" s="9">
        <f>0.9</f>
        <v>0.9</v>
      </c>
      <c r="R290" s="13">
        <v>0.153</v>
      </c>
      <c r="S290" s="7" t="s">
        <v>311</v>
      </c>
      <c r="T290" s="10">
        <f>(R290*I290+1905)*1.9</f>
        <v>13304.967017999999</v>
      </c>
    </row>
    <row r="293" spans="1:20" x14ac:dyDescent="0.25">
      <c r="A293" s="7" t="s">
        <v>9</v>
      </c>
      <c r="B293" s="7" t="s">
        <v>10</v>
      </c>
      <c r="C293" s="7" t="s">
        <v>11</v>
      </c>
      <c r="D293" s="7" t="s">
        <v>12</v>
      </c>
      <c r="E293" s="8" t="s">
        <v>13</v>
      </c>
      <c r="F293" s="9" t="s">
        <v>14</v>
      </c>
      <c r="G293" s="9" t="s">
        <v>15</v>
      </c>
      <c r="H293" s="10" t="s">
        <v>16</v>
      </c>
      <c r="J293" s="15"/>
      <c r="K293" s="13" t="s">
        <v>19</v>
      </c>
      <c r="L293" s="13" t="s">
        <v>20</v>
      </c>
      <c r="M293" s="14" t="s">
        <v>21</v>
      </c>
      <c r="N293" s="14" t="s">
        <v>22</v>
      </c>
      <c r="O293" s="13" t="s">
        <v>23</v>
      </c>
      <c r="P293" s="9" t="s">
        <v>24</v>
      </c>
      <c r="Q293" s="9" t="s">
        <v>25</v>
      </c>
      <c r="R293" s="13" t="s">
        <v>26</v>
      </c>
      <c r="S293" s="7" t="s">
        <v>27</v>
      </c>
      <c r="T293" s="10" t="s">
        <v>28</v>
      </c>
    </row>
    <row r="294" spans="1:20" x14ac:dyDescent="0.25">
      <c r="A294" s="7" t="s">
        <v>312</v>
      </c>
      <c r="B294" s="7" t="s">
        <v>41</v>
      </c>
      <c r="C294" s="7" t="s">
        <v>83</v>
      </c>
      <c r="D294" s="7" t="s">
        <v>287</v>
      </c>
      <c r="E294" s="8" t="s">
        <v>166</v>
      </c>
      <c r="F294" s="9">
        <v>240</v>
      </c>
      <c r="G294" s="9">
        <v>565</v>
      </c>
      <c r="H294" s="10">
        <f>(F294+G294)*(1+0.3+0.466+0.24)+311</f>
        <v>1925.8300000000002</v>
      </c>
      <c r="K294" s="13">
        <v>0.15</v>
      </c>
      <c r="L294" s="13">
        <v>0</v>
      </c>
      <c r="M294" s="14">
        <v>0.7</v>
      </c>
      <c r="N294" s="14">
        <f>63.55%*2+K294+L294/2-13.95%*2-6.6%*2</f>
        <v>1.0099999999999998</v>
      </c>
      <c r="O294" s="13">
        <f>0.466+0.2</f>
        <v>0.66600000000000004</v>
      </c>
      <c r="P294" s="9">
        <f>0.5</f>
        <v>0.5</v>
      </c>
      <c r="Q294" s="9">
        <f>0.9</f>
        <v>0.9</v>
      </c>
      <c r="R294" s="13">
        <v>2.64</v>
      </c>
      <c r="S294" s="7" t="s">
        <v>257</v>
      </c>
      <c r="T294" s="10">
        <f>H294*R294*(1+O294)*(1+N294)*P294*Q294</f>
        <v>7661.3524667063984</v>
      </c>
    </row>
    <row r="296" spans="1:20" x14ac:dyDescent="0.25">
      <c r="A296" s="7" t="s">
        <v>9</v>
      </c>
      <c r="B296" s="7" t="s">
        <v>10</v>
      </c>
      <c r="C296" s="7" t="s">
        <v>11</v>
      </c>
      <c r="D296" s="7" t="s">
        <v>12</v>
      </c>
      <c r="E296" s="8" t="s">
        <v>13</v>
      </c>
      <c r="F296" s="9" t="s">
        <v>14</v>
      </c>
      <c r="G296" s="9" t="s">
        <v>15</v>
      </c>
      <c r="H296" s="10" t="s">
        <v>16</v>
      </c>
      <c r="J296" s="15"/>
      <c r="K296" s="13" t="s">
        <v>19</v>
      </c>
      <c r="L296" s="13" t="s">
        <v>20</v>
      </c>
      <c r="M296" s="14" t="s">
        <v>21</v>
      </c>
      <c r="N296" s="14" t="s">
        <v>22</v>
      </c>
      <c r="O296" s="13" t="s">
        <v>23</v>
      </c>
      <c r="P296" s="9" t="s">
        <v>24</v>
      </c>
      <c r="Q296" s="9" t="s">
        <v>25</v>
      </c>
      <c r="R296" s="13" t="s">
        <v>26</v>
      </c>
      <c r="S296" s="7" t="s">
        <v>27</v>
      </c>
      <c r="T296" s="10" t="s">
        <v>28</v>
      </c>
    </row>
    <row r="297" spans="1:20" x14ac:dyDescent="0.25">
      <c r="A297" s="7" t="s">
        <v>313</v>
      </c>
      <c r="B297" s="7" t="s">
        <v>125</v>
      </c>
      <c r="C297" s="7" t="s">
        <v>314</v>
      </c>
      <c r="D297" s="7" t="s">
        <v>287</v>
      </c>
      <c r="E297" s="8" t="s">
        <v>33</v>
      </c>
      <c r="F297" s="9">
        <v>234</v>
      </c>
      <c r="G297" s="9">
        <v>454</v>
      </c>
      <c r="H297" s="10">
        <f>(F297+G297)*(1+0.3+0.466+0.18)+311</f>
        <v>1649.848</v>
      </c>
      <c r="K297" s="13">
        <v>0.15</v>
      </c>
      <c r="L297" s="13">
        <v>0</v>
      </c>
      <c r="M297" s="14">
        <f>60.25%+K297/2+L297/4-15%</f>
        <v>0.52749999999999997</v>
      </c>
      <c r="N297" s="14">
        <f>60.25%*2+K297+L297/2</f>
        <v>1.355</v>
      </c>
      <c r="O297" s="13">
        <f>0.466+0.288+0.15+0.35</f>
        <v>1.254</v>
      </c>
      <c r="P297" s="9">
        <f t="shared" ref="P297:P303" si="34">0.5</f>
        <v>0.5</v>
      </c>
      <c r="Q297" s="9">
        <f t="shared" ref="Q297:Q303" si="35">0.9</f>
        <v>0.9</v>
      </c>
      <c r="R297" s="13">
        <v>5.4272</v>
      </c>
      <c r="S297" s="7" t="s">
        <v>315</v>
      </c>
      <c r="T297" s="10">
        <f>H297*R297*(1+O297)*(1+N297)*P297*Q297</f>
        <v>21388.340914904678</v>
      </c>
    </row>
    <row r="299" spans="1:20" x14ac:dyDescent="0.2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</row>
    <row r="300" spans="1:20" x14ac:dyDescent="0.25">
      <c r="A300" s="7" t="s">
        <v>9</v>
      </c>
      <c r="B300" s="7" t="s">
        <v>10</v>
      </c>
      <c r="C300" s="7" t="s">
        <v>11</v>
      </c>
      <c r="D300" s="7" t="s">
        <v>12</v>
      </c>
      <c r="E300" s="8" t="s">
        <v>13</v>
      </c>
      <c r="F300" s="9" t="s">
        <v>14</v>
      </c>
      <c r="G300" s="9" t="s">
        <v>15</v>
      </c>
      <c r="H300" s="10" t="s">
        <v>16</v>
      </c>
      <c r="I300" s="11" t="s">
        <v>68</v>
      </c>
      <c r="J300" s="15" t="s">
        <v>39</v>
      </c>
      <c r="K300" s="13" t="s">
        <v>19</v>
      </c>
      <c r="L300" s="13" t="s">
        <v>20</v>
      </c>
      <c r="M300" s="14" t="s">
        <v>21</v>
      </c>
      <c r="N300" s="14" t="s">
        <v>22</v>
      </c>
      <c r="O300" s="13" t="s">
        <v>23</v>
      </c>
      <c r="P300" s="9" t="s">
        <v>24</v>
      </c>
      <c r="Q300" s="9" t="s">
        <v>25</v>
      </c>
      <c r="R300" s="13" t="s">
        <v>26</v>
      </c>
      <c r="S300" s="7" t="s">
        <v>27</v>
      </c>
      <c r="T300" s="10" t="s">
        <v>28</v>
      </c>
    </row>
    <row r="301" spans="1:20" x14ac:dyDescent="0.25">
      <c r="A301" s="7" t="s">
        <v>316</v>
      </c>
      <c r="B301" s="7" t="s">
        <v>317</v>
      </c>
      <c r="C301" s="7" t="s">
        <v>318</v>
      </c>
      <c r="D301" s="7" t="s">
        <v>319</v>
      </c>
      <c r="E301" s="8" t="s">
        <v>199</v>
      </c>
      <c r="F301" s="9">
        <v>227</v>
      </c>
      <c r="G301" s="9">
        <v>542</v>
      </c>
      <c r="H301" s="10">
        <f>(F301+G301)*(1+0.2)+311</f>
        <v>1233.8</v>
      </c>
      <c r="I301" s="61">
        <f>959*(1+0.583+0.062*6+0.3+0.28)</f>
        <v>2431.0650000000001</v>
      </c>
      <c r="J301" s="15">
        <f>1+5.5%*4</f>
        <v>1.22</v>
      </c>
      <c r="K301" s="13">
        <v>0.192</v>
      </c>
      <c r="L301" s="13">
        <v>0.88200000000000001</v>
      </c>
      <c r="M301" s="14">
        <v>0.8</v>
      </c>
      <c r="N301" s="14">
        <f>60.25%*2+K301+L301/2+11.9%*2</f>
        <v>2.0760000000000001</v>
      </c>
      <c r="O301" s="13">
        <f>0.466+0.24</f>
        <v>0.70599999999999996</v>
      </c>
      <c r="P301" s="9">
        <f t="shared" si="34"/>
        <v>0.5</v>
      </c>
      <c r="Q301" s="9">
        <f t="shared" si="35"/>
        <v>0.9</v>
      </c>
      <c r="R301" s="13">
        <v>1.8019999999999998</v>
      </c>
      <c r="S301" s="7" t="s">
        <v>320</v>
      </c>
      <c r="T301" s="10">
        <f>((H301+97.92%*2662)*R301+0.75*2662)*(1+O301)*(1+N301)*P301*Q301</f>
        <v>21056.901954893372</v>
      </c>
    </row>
    <row r="302" spans="1:20" x14ac:dyDescent="0.25">
      <c r="A302" s="7" t="s">
        <v>316</v>
      </c>
      <c r="B302" s="7" t="s">
        <v>67</v>
      </c>
      <c r="C302" s="7" t="s">
        <v>318</v>
      </c>
      <c r="D302" s="7" t="s">
        <v>319</v>
      </c>
      <c r="E302" s="8" t="s">
        <v>199</v>
      </c>
      <c r="F302" s="9">
        <v>227</v>
      </c>
      <c r="G302" s="9">
        <v>510</v>
      </c>
      <c r="H302" s="10">
        <f>(F302+G302)*(1+0.2)+311</f>
        <v>1195.4000000000001</v>
      </c>
      <c r="I302" s="61">
        <f>959*(1+0.583+0.062*6+0.3)</f>
        <v>2162.5450000000001</v>
      </c>
      <c r="J302" s="15">
        <f>1+5.5%*4</f>
        <v>1.22</v>
      </c>
      <c r="K302" s="13">
        <f>27.6%+19.2%</f>
        <v>0.46800000000000003</v>
      </c>
      <c r="L302" s="13">
        <v>0</v>
      </c>
      <c r="M302" s="14">
        <v>0.8</v>
      </c>
      <c r="N302" s="14">
        <f>60.25%*2+K302+L302/2+3.65%*2</f>
        <v>1.746</v>
      </c>
      <c r="O302" s="13">
        <f>0.466+0.4+0.24</f>
        <v>1.1060000000000001</v>
      </c>
      <c r="P302" s="9">
        <f t="shared" si="34"/>
        <v>0.5</v>
      </c>
      <c r="Q302" s="9">
        <f t="shared" si="35"/>
        <v>0.9</v>
      </c>
      <c r="R302" s="13">
        <v>1.8019999999999998</v>
      </c>
      <c r="S302" s="7" t="s">
        <v>320</v>
      </c>
      <c r="T302" s="10">
        <f>((H302+97.92%*2394)*R302+0.35*2394)*(1+O302)*(1+N302)*P302*Q302</f>
        <v>18779.501434767011</v>
      </c>
    </row>
    <row r="303" spans="1:20" x14ac:dyDescent="0.25">
      <c r="A303" s="7" t="s">
        <v>316</v>
      </c>
      <c r="B303" s="7" t="s">
        <v>75</v>
      </c>
      <c r="C303" s="7" t="s">
        <v>318</v>
      </c>
      <c r="D303" s="7" t="s">
        <v>319</v>
      </c>
      <c r="E303" s="8" t="s">
        <v>199</v>
      </c>
      <c r="F303" s="9">
        <v>227</v>
      </c>
      <c r="G303" s="9">
        <v>510</v>
      </c>
      <c r="H303" s="10">
        <f>(F303+G303)*(1+0.2)+311</f>
        <v>1195.4000000000001</v>
      </c>
      <c r="I303" s="61">
        <f>959*(1+0.583+0.062*6+0.3+0.517)</f>
        <v>2658.348</v>
      </c>
      <c r="J303" s="15">
        <f>1+5.5%*4</f>
        <v>1.22</v>
      </c>
      <c r="K303" s="13">
        <f>19.2%</f>
        <v>0.192</v>
      </c>
      <c r="L303" s="13">
        <v>0</v>
      </c>
      <c r="M303" s="14">
        <f>60.25%+K303/2+L303/4</f>
        <v>0.69850000000000001</v>
      </c>
      <c r="N303" s="14">
        <f>60.25%*2+K303+L303/2</f>
        <v>1.397</v>
      </c>
      <c r="O303" s="13">
        <f>0.466+0.24</f>
        <v>0.70599999999999996</v>
      </c>
      <c r="P303" s="9">
        <f t="shared" si="34"/>
        <v>0.5</v>
      </c>
      <c r="Q303" s="9">
        <f t="shared" si="35"/>
        <v>0.9</v>
      </c>
      <c r="R303" s="13">
        <v>1.8019999999999998</v>
      </c>
      <c r="S303" s="7" t="s">
        <v>320</v>
      </c>
      <c r="T303" s="10">
        <f>((1461+97.92%*3234)*R303+0.35*3234)*(1+O303)*(1+N303)*P303*Q303</f>
        <v>17428.45252338404</v>
      </c>
    </row>
    <row r="305" spans="1:21" x14ac:dyDescent="0.25">
      <c r="A305" s="7" t="s">
        <v>9</v>
      </c>
      <c r="B305" s="7" t="s">
        <v>10</v>
      </c>
      <c r="C305" s="7" t="s">
        <v>11</v>
      </c>
      <c r="D305" s="7" t="s">
        <v>12</v>
      </c>
      <c r="E305" s="8" t="s">
        <v>13</v>
      </c>
      <c r="F305" s="9" t="s">
        <v>14</v>
      </c>
      <c r="G305" s="9" t="s">
        <v>15</v>
      </c>
      <c r="H305" s="10" t="s">
        <v>16</v>
      </c>
      <c r="I305" s="11" t="s">
        <v>68</v>
      </c>
      <c r="J305" s="15" t="s">
        <v>39</v>
      </c>
      <c r="K305" s="13" t="s">
        <v>19</v>
      </c>
      <c r="L305" s="13" t="s">
        <v>20</v>
      </c>
      <c r="M305" s="14" t="s">
        <v>21</v>
      </c>
      <c r="N305" s="14" t="s">
        <v>22</v>
      </c>
      <c r="O305" s="13" t="s">
        <v>23</v>
      </c>
      <c r="P305" s="9" t="s">
        <v>24</v>
      </c>
      <c r="Q305" s="9" t="s">
        <v>25</v>
      </c>
      <c r="R305" s="13" t="s">
        <v>26</v>
      </c>
      <c r="S305" s="7" t="s">
        <v>27</v>
      </c>
      <c r="T305" s="10" t="s">
        <v>28</v>
      </c>
    </row>
    <row r="306" spans="1:21" x14ac:dyDescent="0.25">
      <c r="A306" s="7" t="s">
        <v>321</v>
      </c>
      <c r="B306" s="7" t="s">
        <v>125</v>
      </c>
      <c r="C306" s="7" t="s">
        <v>322</v>
      </c>
      <c r="D306" s="7" t="s">
        <v>323</v>
      </c>
      <c r="E306" s="8" t="s">
        <v>250</v>
      </c>
      <c r="F306" s="9">
        <v>183</v>
      </c>
      <c r="G306" s="9">
        <v>454</v>
      </c>
      <c r="H306" s="10">
        <f>(F306+G306)*(1+0.2)+311</f>
        <v>1075.4000000000001</v>
      </c>
      <c r="I306" s="61">
        <f>648*(1+0.062*6+0.3)</f>
        <v>1083.4559999999999</v>
      </c>
      <c r="J306" s="15">
        <f>1+0.518+0.2+0.2+0.613</f>
        <v>2.5309999999999997</v>
      </c>
      <c r="K306" s="13">
        <v>0</v>
      </c>
      <c r="L306" s="13">
        <v>0</v>
      </c>
      <c r="M306" s="14">
        <f>60.25%+K306/2+L306/4</f>
        <v>0.60250000000000004</v>
      </c>
      <c r="N306" s="14" t="s">
        <v>45</v>
      </c>
      <c r="O306" s="13" t="s">
        <v>46</v>
      </c>
      <c r="P306" s="9">
        <f>0.5</f>
        <v>0.5</v>
      </c>
      <c r="Q306" s="9">
        <f>0.9</f>
        <v>0.9</v>
      </c>
      <c r="R306" s="13" t="s">
        <v>46</v>
      </c>
      <c r="S306" s="7" t="s">
        <v>324</v>
      </c>
      <c r="T306" s="10" t="s">
        <v>45</v>
      </c>
    </row>
    <row r="308" spans="1:21" x14ac:dyDescent="0.25">
      <c r="A308" s="7" t="s">
        <v>9</v>
      </c>
      <c r="B308" s="7" t="s">
        <v>10</v>
      </c>
      <c r="C308" s="7" t="s">
        <v>11</v>
      </c>
      <c r="D308" s="7" t="s">
        <v>12</v>
      </c>
      <c r="E308" s="8" t="s">
        <v>13</v>
      </c>
      <c r="F308" s="9" t="s">
        <v>14</v>
      </c>
      <c r="G308" s="9" t="s">
        <v>15</v>
      </c>
      <c r="H308" s="10" t="s">
        <v>16</v>
      </c>
      <c r="I308" s="11" t="s">
        <v>68</v>
      </c>
      <c r="J308" s="15"/>
      <c r="K308" s="13" t="s">
        <v>19</v>
      </c>
      <c r="L308" s="13" t="s">
        <v>20</v>
      </c>
      <c r="M308" s="14" t="s">
        <v>21</v>
      </c>
      <c r="N308" s="14" t="s">
        <v>22</v>
      </c>
      <c r="O308" s="13" t="s">
        <v>23</v>
      </c>
      <c r="P308" s="9" t="s">
        <v>24</v>
      </c>
      <c r="Q308" s="9" t="s">
        <v>25</v>
      </c>
      <c r="R308" s="13" t="s">
        <v>325</v>
      </c>
      <c r="S308" s="7" t="s">
        <v>27</v>
      </c>
      <c r="T308" s="10" t="s">
        <v>28</v>
      </c>
    </row>
    <row r="309" spans="1:21" x14ac:dyDescent="0.25">
      <c r="A309" s="7" t="s">
        <v>326</v>
      </c>
      <c r="B309" s="7" t="s">
        <v>327</v>
      </c>
      <c r="C309" s="7" t="s">
        <v>318</v>
      </c>
      <c r="D309" s="7" t="s">
        <v>319</v>
      </c>
      <c r="E309" s="8" t="s">
        <v>328</v>
      </c>
      <c r="F309" s="9">
        <v>251</v>
      </c>
      <c r="G309" s="9">
        <v>454</v>
      </c>
      <c r="H309" s="10">
        <f>(F309+G309)*(1+0.2)+311</f>
        <v>1157</v>
      </c>
      <c r="I309" s="61">
        <f>876*(1+0.583+0.062*6+0.3+0.69)</f>
        <v>2579.8199999999997</v>
      </c>
      <c r="K309" s="13">
        <v>0</v>
      </c>
      <c r="L309" s="13">
        <v>0</v>
      </c>
      <c r="M309" s="14">
        <f>60.25%+K309/2+L309/4</f>
        <v>0.60250000000000004</v>
      </c>
      <c r="N309" s="14">
        <f>60.25%*2+K309+L309/2</f>
        <v>1.2050000000000001</v>
      </c>
      <c r="O309" s="13">
        <f>0.466+0.288+0.24</f>
        <v>0.99399999999999999</v>
      </c>
      <c r="P309" s="9">
        <f>0.5</f>
        <v>0.5</v>
      </c>
      <c r="Q309" s="9">
        <f>0.9</f>
        <v>0.9</v>
      </c>
      <c r="R309" s="13">
        <v>3.2048000000000001</v>
      </c>
      <c r="S309" s="7" t="s">
        <v>329</v>
      </c>
      <c r="T309" s="10">
        <f>876*(1+0.584+0.062*6+0.3+0.69+0.24)*R309*(1+O309)*(1+N309)*P309*Q309</f>
        <v>17696.894878418516</v>
      </c>
    </row>
    <row r="310" spans="1:21" x14ac:dyDescent="0.25">
      <c r="A310" s="7" t="s">
        <v>326</v>
      </c>
      <c r="B310" s="12" t="s">
        <v>330</v>
      </c>
      <c r="C310" s="7" t="s">
        <v>318</v>
      </c>
      <c r="D310" s="7" t="s">
        <v>319</v>
      </c>
      <c r="E310" s="8" t="s">
        <v>328</v>
      </c>
      <c r="F310" s="9">
        <v>251</v>
      </c>
      <c r="G310" s="9">
        <v>401</v>
      </c>
      <c r="H310" s="10">
        <f>(F310+G310)*(1+0.2)+311</f>
        <v>1093.4000000000001</v>
      </c>
      <c r="I310" s="61">
        <f>876*(1+0.583+0.062*6+0.3)</f>
        <v>1975.3799999999999</v>
      </c>
      <c r="K310" s="13">
        <v>0.28000000000000003</v>
      </c>
      <c r="L310" s="13">
        <v>0.46899999999999997</v>
      </c>
      <c r="M310" s="14">
        <f>60.25%+K310/2+L310/4-5.98%</f>
        <v>0.79995000000000005</v>
      </c>
      <c r="N310" s="14">
        <f>60.25%*2+K310+L310/2+8.98%*2</f>
        <v>1.8991</v>
      </c>
      <c r="O310" s="13">
        <f>0.466+0.288+0.24</f>
        <v>0.99399999999999999</v>
      </c>
      <c r="P310" s="9">
        <f>0.5</f>
        <v>0.5</v>
      </c>
      <c r="Q310" s="9">
        <f>0.9</f>
        <v>0.9</v>
      </c>
      <c r="R310" s="13">
        <v>2.4047999999999998</v>
      </c>
      <c r="S310" s="7" t="s">
        <v>329</v>
      </c>
      <c r="T310" s="10">
        <f>U310*R310*(1+O310)*(1+N310)*P310*Q310</f>
        <v>13672.706241036269</v>
      </c>
      <c r="U310">
        <f>876*(1+0.583+0.062*6+0.3+0.24)</f>
        <v>2185.62</v>
      </c>
    </row>
    <row r="311" spans="1:21" x14ac:dyDescent="0.25">
      <c r="A311" s="7" t="s">
        <v>326</v>
      </c>
      <c r="B311" s="7" t="s">
        <v>327</v>
      </c>
      <c r="C311" s="7" t="s">
        <v>331</v>
      </c>
      <c r="D311" s="7" t="s">
        <v>319</v>
      </c>
      <c r="E311" s="8" t="s">
        <v>328</v>
      </c>
      <c r="F311" s="9">
        <v>251</v>
      </c>
      <c r="G311" s="9">
        <v>454</v>
      </c>
      <c r="H311" s="10">
        <f>(F311+G311)*(1+0.2)+311</f>
        <v>1157</v>
      </c>
      <c r="I311" s="61">
        <f>876*(1+0.583+0.062*6+0.69)</f>
        <v>2317.02</v>
      </c>
      <c r="K311" s="13">
        <v>0</v>
      </c>
      <c r="L311" s="13">
        <v>0</v>
      </c>
      <c r="M311" s="14">
        <f>60.25%+K311/2+L311/4</f>
        <v>0.60250000000000004</v>
      </c>
      <c r="N311" s="14">
        <f>60.25%*2+K311+L311/2</f>
        <v>1.2050000000000001</v>
      </c>
      <c r="O311" s="13">
        <f>0.466+0.288+0.15</f>
        <v>0.90400000000000003</v>
      </c>
      <c r="P311" s="9">
        <f>0.5</f>
        <v>0.5</v>
      </c>
      <c r="Q311" s="9">
        <f>0.9</f>
        <v>0.9</v>
      </c>
      <c r="R311" s="13">
        <v>3.2048000000000001</v>
      </c>
      <c r="S311" s="7" t="s">
        <v>329</v>
      </c>
      <c r="T311" s="10">
        <f>876*(1+0.584+0.062*6+0.69)*R311*(1+O311)*(1+N311)*P311*Q311</f>
        <v>14034.047095327793</v>
      </c>
    </row>
    <row r="312" spans="1:21" x14ac:dyDescent="0.25">
      <c r="A312" s="7" t="s">
        <v>326</v>
      </c>
      <c r="B312" s="7" t="s">
        <v>327</v>
      </c>
      <c r="C312" s="7" t="s">
        <v>77</v>
      </c>
      <c r="D312" s="7" t="s">
        <v>319</v>
      </c>
      <c r="E312" s="8" t="s">
        <v>328</v>
      </c>
      <c r="F312" s="9">
        <v>251</v>
      </c>
      <c r="G312" s="9">
        <v>454</v>
      </c>
      <c r="H312" s="10">
        <f>(F312+G312)*(1+0.2)+311</f>
        <v>1157</v>
      </c>
      <c r="I312" s="61">
        <f>876*(1+0.583+0.062*6+0.69)</f>
        <v>2317.02</v>
      </c>
      <c r="K312" s="13">
        <v>0</v>
      </c>
      <c r="L312" s="13">
        <v>0</v>
      </c>
      <c r="M312" s="14">
        <f>60.25%+K312/2+L312/4</f>
        <v>0.60250000000000004</v>
      </c>
      <c r="N312" s="14">
        <f>60.25%*2+K312+L312/2</f>
        <v>1.2050000000000001</v>
      </c>
      <c r="O312" s="13">
        <f>0.466+0.288</f>
        <v>0.754</v>
      </c>
      <c r="P312" s="9">
        <f>0.5</f>
        <v>0.5</v>
      </c>
      <c r="Q312" s="9">
        <f>0.9</f>
        <v>0.9</v>
      </c>
      <c r="R312" s="13">
        <v>3.2048000000000001</v>
      </c>
      <c r="S312" s="7" t="s">
        <v>329</v>
      </c>
      <c r="T312" s="10">
        <f>876*(1+0.584+0.062*6+0.69)*R312*(1+O312)*(1+N312)*P312*Q312</f>
        <v>12928.423637187472</v>
      </c>
    </row>
    <row r="314" spans="1:21" x14ac:dyDescent="0.25">
      <c r="A314" s="7" t="s">
        <v>9</v>
      </c>
      <c r="B314" s="7" t="s">
        <v>10</v>
      </c>
      <c r="C314" s="7" t="s">
        <v>11</v>
      </c>
      <c r="D314" s="7" t="s">
        <v>12</v>
      </c>
      <c r="E314" s="8" t="s">
        <v>13</v>
      </c>
      <c r="F314" s="9" t="s">
        <v>14</v>
      </c>
      <c r="G314" s="9" t="s">
        <v>15</v>
      </c>
      <c r="H314" s="10" t="s">
        <v>16</v>
      </c>
      <c r="I314" s="11" t="s">
        <v>99</v>
      </c>
      <c r="J314" s="15"/>
      <c r="K314" s="13" t="s">
        <v>19</v>
      </c>
      <c r="L314" s="13" t="s">
        <v>20</v>
      </c>
      <c r="M314" s="14" t="s">
        <v>21</v>
      </c>
      <c r="N314" s="14" t="s">
        <v>22</v>
      </c>
      <c r="O314" s="13" t="s">
        <v>23</v>
      </c>
      <c r="P314" s="9" t="s">
        <v>24</v>
      </c>
      <c r="Q314" s="9" t="s">
        <v>25</v>
      </c>
      <c r="R314" s="13" t="s">
        <v>26</v>
      </c>
      <c r="S314" s="7" t="s">
        <v>27</v>
      </c>
      <c r="T314" s="10" t="s">
        <v>28</v>
      </c>
    </row>
    <row r="315" spans="1:21" x14ac:dyDescent="0.25">
      <c r="A315" s="7" t="s">
        <v>332</v>
      </c>
      <c r="B315" s="7" t="s">
        <v>48</v>
      </c>
      <c r="C315" s="7" t="s">
        <v>77</v>
      </c>
      <c r="D315" s="7" t="s">
        <v>107</v>
      </c>
      <c r="E315" s="8" t="s">
        <v>131</v>
      </c>
      <c r="F315" s="9">
        <v>251</v>
      </c>
      <c r="G315" s="9">
        <v>354</v>
      </c>
      <c r="H315" s="10">
        <f>(F315+G315)*(1+0.2)+311</f>
        <v>1037</v>
      </c>
      <c r="I315" s="61">
        <f>14695*(1+0.466*3+0.469+0.4+0.2)+4780</f>
        <v>55727.565000000002</v>
      </c>
      <c r="K315" s="13">
        <v>0</v>
      </c>
      <c r="L315" s="13">
        <v>0</v>
      </c>
      <c r="M315" s="14" t="s">
        <v>45</v>
      </c>
      <c r="N315" s="14" t="s">
        <v>45</v>
      </c>
      <c r="O315" s="13">
        <v>0.28800000000000003</v>
      </c>
      <c r="P315" s="9">
        <f>0.5</f>
        <v>0.5</v>
      </c>
      <c r="Q315" s="9">
        <v>1.05</v>
      </c>
      <c r="R315" s="13">
        <v>0.23</v>
      </c>
      <c r="S315" s="7" t="s">
        <v>333</v>
      </c>
      <c r="T315" s="10">
        <f>(2506+R315*I315)*1.5*1.3</f>
        <v>29880.512902500002</v>
      </c>
    </row>
    <row r="316" spans="1:21" x14ac:dyDescent="0.25">
      <c r="A316" s="7" t="s">
        <v>332</v>
      </c>
      <c r="B316" s="7" t="s">
        <v>30</v>
      </c>
      <c r="C316" s="7" t="s">
        <v>77</v>
      </c>
      <c r="D316" s="7" t="s">
        <v>107</v>
      </c>
      <c r="E316" s="8" t="s">
        <v>131</v>
      </c>
      <c r="F316" s="9">
        <v>251</v>
      </c>
      <c r="G316" s="9">
        <v>608</v>
      </c>
      <c r="H316" s="10">
        <f>(F316+G316)*(1+0.2)+311+0.8%*I316</f>
        <v>1738.3628800000001</v>
      </c>
      <c r="I316" s="61">
        <f>14695*(1+0.466*3+0.25+0.2+0.2)+4780</f>
        <v>49570.360000000008</v>
      </c>
      <c r="K316" s="13">
        <v>-0.311</v>
      </c>
      <c r="L316" s="13">
        <v>0.66200000000000003</v>
      </c>
      <c r="M316" s="14">
        <f t="shared" ref="M316:M322" si="36">60.25%+K316/2+L316/4</f>
        <v>0.61250000000000004</v>
      </c>
      <c r="N316" s="14">
        <f t="shared" ref="N316:N322" si="37">60.25%*2+K316+L316/2</f>
        <v>1.2250000000000001</v>
      </c>
      <c r="O316" s="13">
        <v>0.28800000000000003</v>
      </c>
      <c r="P316" s="9">
        <f>0.5</f>
        <v>0.5</v>
      </c>
      <c r="Q316" s="9">
        <v>1.05</v>
      </c>
      <c r="R316" s="13">
        <v>8.3468</v>
      </c>
      <c r="S316" s="7" t="s">
        <v>334</v>
      </c>
      <c r="T316" s="10">
        <f>(H316*R316+0.33*I316)*(1+O316)*(1+N316)*P316*Q316</f>
        <v>46442.274126940443</v>
      </c>
    </row>
    <row r="317" spans="1:21" x14ac:dyDescent="0.25">
      <c r="A317" s="7" t="s">
        <v>332</v>
      </c>
      <c r="B317" s="7" t="s">
        <v>30</v>
      </c>
      <c r="C317" s="7" t="s">
        <v>335</v>
      </c>
      <c r="D317" s="7" t="s">
        <v>336</v>
      </c>
      <c r="E317" s="8" t="s">
        <v>207</v>
      </c>
      <c r="F317" s="9">
        <v>251</v>
      </c>
      <c r="G317" s="9">
        <v>608</v>
      </c>
      <c r="H317" s="10">
        <f>(F317+G317)*(1+0.2)+311+0.8%*I317</f>
        <v>1611.1629599999999</v>
      </c>
      <c r="I317" s="61">
        <f>14695*(1+0.466*1+0.3+0.2)+4780</f>
        <v>33670.369999999995</v>
      </c>
      <c r="K317" s="13">
        <v>0</v>
      </c>
      <c r="L317" s="13">
        <v>0.66200000000000003</v>
      </c>
      <c r="M317" s="14">
        <f t="shared" si="36"/>
        <v>0.76800000000000002</v>
      </c>
      <c r="N317" s="14">
        <f t="shared" si="37"/>
        <v>1.536</v>
      </c>
      <c r="O317" s="13">
        <f>0.466+0.288+0.15+0.2</f>
        <v>1.1040000000000001</v>
      </c>
      <c r="P317" s="9">
        <f>0.5</f>
        <v>0.5</v>
      </c>
      <c r="Q317" s="9">
        <v>1.05</v>
      </c>
      <c r="R317" s="13">
        <v>8.9971999999999994</v>
      </c>
      <c r="S317" s="7" t="s">
        <v>334</v>
      </c>
      <c r="T317" s="10">
        <f>(H317*R317+0.33*I317)*(1+O317)*(1+N317)*P317*Q317</f>
        <v>71732.505398216977</v>
      </c>
    </row>
    <row r="319" spans="1:21" x14ac:dyDescent="0.25">
      <c r="A319" s="7" t="s">
        <v>9</v>
      </c>
      <c r="B319" s="7" t="s">
        <v>10</v>
      </c>
      <c r="C319" s="7" t="s">
        <v>11</v>
      </c>
      <c r="D319" s="7" t="s">
        <v>12</v>
      </c>
      <c r="E319" s="8" t="s">
        <v>13</v>
      </c>
      <c r="F319" s="9" t="s">
        <v>14</v>
      </c>
      <c r="G319" s="9" t="s">
        <v>15</v>
      </c>
      <c r="H319" s="10" t="s">
        <v>16</v>
      </c>
      <c r="I319" s="11" t="s">
        <v>68</v>
      </c>
      <c r="J319" s="15"/>
      <c r="K319" s="13" t="s">
        <v>19</v>
      </c>
      <c r="L319" s="13" t="s">
        <v>20</v>
      </c>
      <c r="M319" s="14" t="s">
        <v>21</v>
      </c>
      <c r="N319" s="14" t="s">
        <v>22</v>
      </c>
      <c r="O319" s="13" t="s">
        <v>23</v>
      </c>
      <c r="P319" s="9" t="s">
        <v>24</v>
      </c>
      <c r="Q319" s="9" t="s">
        <v>25</v>
      </c>
      <c r="R319" s="13" t="s">
        <v>26</v>
      </c>
      <c r="S319" s="7" t="s">
        <v>27</v>
      </c>
      <c r="T319" s="10" t="s">
        <v>28</v>
      </c>
    </row>
    <row r="320" spans="1:21" x14ac:dyDescent="0.25">
      <c r="A320" s="7" t="s">
        <v>337</v>
      </c>
      <c r="B320" s="7" t="s">
        <v>317</v>
      </c>
      <c r="C320" s="7" t="s">
        <v>318</v>
      </c>
      <c r="D320" s="7" t="s">
        <v>319</v>
      </c>
      <c r="E320" s="8" t="s">
        <v>84</v>
      </c>
      <c r="F320" s="9">
        <v>191</v>
      </c>
      <c r="G320" s="9">
        <v>542</v>
      </c>
      <c r="H320" s="10">
        <f>(F320+G320)*(1+0.2)+311</f>
        <v>1190.5999999999999</v>
      </c>
      <c r="I320" s="61">
        <f>799*(1+0.583+0.248+0.3+0.28+0.3)</f>
        <v>2166.0889999999995</v>
      </c>
      <c r="K320" s="13">
        <v>0</v>
      </c>
      <c r="L320" s="13">
        <v>0.88200000000000001</v>
      </c>
      <c r="M320" s="14">
        <v>0.7</v>
      </c>
      <c r="N320" s="14">
        <f>60.25%*2+K320+L320/2+12.3%*2</f>
        <v>1.8920000000000001</v>
      </c>
      <c r="O320" s="13">
        <f>0.466+0.24</f>
        <v>0.70599999999999996</v>
      </c>
      <c r="P320" s="9">
        <f>0.5</f>
        <v>0.5</v>
      </c>
      <c r="Q320" s="9">
        <f>0.9</f>
        <v>0.9</v>
      </c>
      <c r="R320" s="13">
        <v>1.5640000000000001</v>
      </c>
      <c r="S320" s="7" t="s">
        <v>338</v>
      </c>
      <c r="T320" s="10">
        <f>((H320+1.3*2358)*R320+0.4*2358)*(1+O320)*(1+N320)*P320*Q320</f>
        <v>16872.508241625601</v>
      </c>
    </row>
    <row r="321" spans="1:20" x14ac:dyDescent="0.25">
      <c r="A321" s="7" t="s">
        <v>337</v>
      </c>
      <c r="B321" s="7" t="s">
        <v>67</v>
      </c>
      <c r="C321" s="7" t="s">
        <v>318</v>
      </c>
      <c r="D321" s="7" t="s">
        <v>319</v>
      </c>
      <c r="E321" s="8" t="s">
        <v>84</v>
      </c>
      <c r="F321" s="9">
        <v>191</v>
      </c>
      <c r="G321" s="9">
        <v>510</v>
      </c>
      <c r="H321" s="10">
        <f>(F321+G321)*(1+0.2)+311</f>
        <v>1152.1999999999998</v>
      </c>
      <c r="I321" s="61">
        <f>799*(1+0.583+0.062*6+0.3+0.3)</f>
        <v>2041.4449999999997</v>
      </c>
      <c r="K321" s="13">
        <v>0.27600000000000002</v>
      </c>
      <c r="L321" s="13">
        <v>0</v>
      </c>
      <c r="M321" s="14">
        <f t="shared" si="36"/>
        <v>0.74050000000000005</v>
      </c>
      <c r="N321" s="14">
        <f t="shared" si="37"/>
        <v>1.4810000000000001</v>
      </c>
      <c r="O321" s="13">
        <f>0.466+0.4+0.24</f>
        <v>1.1060000000000001</v>
      </c>
      <c r="P321" s="9">
        <f>0.5</f>
        <v>0.5</v>
      </c>
      <c r="Q321" s="9">
        <f>0.9</f>
        <v>0.9</v>
      </c>
      <c r="R321" s="13">
        <v>1.5640000000000001</v>
      </c>
      <c r="S321" s="7" t="s">
        <v>338</v>
      </c>
      <c r="T321" s="10">
        <f>(H321+1.3*2223)*R321*(1+O321)*(1+N321)*P321*Q321</f>
        <v>14864.19681788028</v>
      </c>
    </row>
    <row r="322" spans="1:20" x14ac:dyDescent="0.25">
      <c r="A322" s="7" t="s">
        <v>337</v>
      </c>
      <c r="B322" s="7" t="s">
        <v>75</v>
      </c>
      <c r="C322" s="7" t="s">
        <v>318</v>
      </c>
      <c r="D322" s="7" t="s">
        <v>319</v>
      </c>
      <c r="E322" s="8" t="s">
        <v>84</v>
      </c>
      <c r="F322" s="9">
        <v>191</v>
      </c>
      <c r="G322" s="9">
        <v>510</v>
      </c>
      <c r="H322" s="10">
        <f>(F322+G322)*(1+0.2)+311</f>
        <v>1152.1999999999998</v>
      </c>
      <c r="I322" s="61">
        <f>799*(1+0.583+0.062*6+0.3+0.517+0.3)</f>
        <v>2454.5279999999998</v>
      </c>
      <c r="K322" s="13">
        <v>0</v>
      </c>
      <c r="L322" s="13">
        <v>0</v>
      </c>
      <c r="M322" s="14">
        <f t="shared" si="36"/>
        <v>0.60250000000000004</v>
      </c>
      <c r="N322" s="14">
        <f t="shared" si="37"/>
        <v>1.2050000000000001</v>
      </c>
      <c r="O322" s="13">
        <f>0.466+0.24</f>
        <v>0.70599999999999996</v>
      </c>
      <c r="P322" s="9">
        <f>0.5</f>
        <v>0.5</v>
      </c>
      <c r="Q322" s="9">
        <f>0.9</f>
        <v>0.9</v>
      </c>
      <c r="R322" s="13">
        <v>1.5640000000000001</v>
      </c>
      <c r="S322" s="7" t="s">
        <v>338</v>
      </c>
      <c r="T322" s="10">
        <f>(1320+1.3*2934)*R322*(1+O322)*(1+N322)*P322*Q322</f>
        <v>13592.823118030803</v>
      </c>
    </row>
    <row r="324" spans="1:20" x14ac:dyDescent="0.25">
      <c r="A324" s="7" t="s">
        <v>9</v>
      </c>
      <c r="B324" s="7" t="s">
        <v>10</v>
      </c>
      <c r="C324" s="7" t="s">
        <v>11</v>
      </c>
      <c r="D324" s="7" t="s">
        <v>12</v>
      </c>
      <c r="E324" s="8" t="s">
        <v>13</v>
      </c>
      <c r="F324" s="9" t="s">
        <v>14</v>
      </c>
      <c r="G324" s="9" t="s">
        <v>15</v>
      </c>
      <c r="H324" s="10" t="s">
        <v>16</v>
      </c>
      <c r="J324" s="15"/>
      <c r="K324" s="13" t="s">
        <v>19</v>
      </c>
      <c r="L324" s="13" t="s">
        <v>20</v>
      </c>
      <c r="M324" s="14" t="s">
        <v>21</v>
      </c>
      <c r="N324" s="14" t="s">
        <v>22</v>
      </c>
      <c r="O324" s="13" t="s">
        <v>23</v>
      </c>
      <c r="P324" s="9" t="s">
        <v>24</v>
      </c>
      <c r="Q324" s="9" t="s">
        <v>25</v>
      </c>
      <c r="R324" s="13" t="s">
        <v>26</v>
      </c>
      <c r="S324" s="7" t="s">
        <v>27</v>
      </c>
      <c r="T324" s="10" t="s">
        <v>28</v>
      </c>
    </row>
    <row r="325" spans="1:20" x14ac:dyDescent="0.25">
      <c r="A325" s="7" t="s">
        <v>339</v>
      </c>
      <c r="B325" s="7" t="s">
        <v>57</v>
      </c>
      <c r="C325" s="7" t="s">
        <v>340</v>
      </c>
      <c r="D325" s="7" t="s">
        <v>341</v>
      </c>
      <c r="E325" s="8" t="s">
        <v>342</v>
      </c>
      <c r="F325" s="9">
        <v>212</v>
      </c>
      <c r="G325" s="9">
        <v>608</v>
      </c>
      <c r="H325" s="10">
        <f>(F325+G325)*(1+0.3+0.466+0.18)+311</f>
        <v>1906.72</v>
      </c>
      <c r="K325" s="13">
        <v>0.33100000000000002</v>
      </c>
      <c r="L325" s="13">
        <v>0</v>
      </c>
      <c r="M325" s="14">
        <f>60.25%+K325/2+L325/4</f>
        <v>0.76800000000000002</v>
      </c>
      <c r="N325" s="14">
        <f>60.25%*2+K325+L325/2</f>
        <v>1.536</v>
      </c>
      <c r="O325" s="13">
        <f>0.466+0.15+0.24+0.12</f>
        <v>0.97599999999999998</v>
      </c>
      <c r="P325" s="9">
        <f>190/(190*(1)+190)</f>
        <v>0.5</v>
      </c>
      <c r="Q325" s="9">
        <v>0.9</v>
      </c>
      <c r="R325" s="13">
        <f>184.79%</f>
        <v>1.8478999999999999</v>
      </c>
      <c r="S325" s="7" t="s">
        <v>343</v>
      </c>
      <c r="T325" s="10">
        <f>H325*R325*(1+O325)*(1+N325*M325)*P325*Q325</f>
        <v>6828.9071027694681</v>
      </c>
    </row>
    <row r="326" spans="1:20" x14ac:dyDescent="0.25">
      <c r="A326" s="7" t="s">
        <v>339</v>
      </c>
      <c r="B326" s="7" t="s">
        <v>344</v>
      </c>
      <c r="C326" s="7" t="s">
        <v>340</v>
      </c>
      <c r="D326" s="7" t="s">
        <v>341</v>
      </c>
      <c r="E326" s="8" t="s">
        <v>342</v>
      </c>
      <c r="F326" s="9">
        <v>212</v>
      </c>
      <c r="G326" s="9">
        <v>608</v>
      </c>
      <c r="H326" s="10">
        <f>(F326+G326)*(1+0.3+0.466+0.18+0.496)+311</f>
        <v>2313.44</v>
      </c>
      <c r="K326" s="13">
        <v>0</v>
      </c>
      <c r="L326" s="13">
        <v>0</v>
      </c>
      <c r="M326" s="14">
        <f>60.25%+K326/2+L326/4</f>
        <v>0.60250000000000004</v>
      </c>
      <c r="N326" s="14">
        <f>60.25%*2+K326+L326/2</f>
        <v>1.2050000000000001</v>
      </c>
      <c r="O326" s="13">
        <f>0.466+0.15+0.24+0.12</f>
        <v>0.97599999999999998</v>
      </c>
      <c r="P326" s="9">
        <f>190/(190*(1)+190)</f>
        <v>0.5</v>
      </c>
      <c r="Q326" s="9">
        <v>0.9</v>
      </c>
      <c r="R326" s="13">
        <f>184.79%</f>
        <v>1.8478999999999999</v>
      </c>
      <c r="S326" s="7" t="s">
        <v>343</v>
      </c>
      <c r="T326" s="10">
        <f>2559*R326*(1+O326)*(1+N326*M326)*P326*Q326</f>
        <v>7257.5851845614716</v>
      </c>
    </row>
    <row r="327" spans="1:20" x14ac:dyDescent="0.25">
      <c r="A327" s="7" t="s">
        <v>339</v>
      </c>
      <c r="B327" s="7" t="s">
        <v>61</v>
      </c>
      <c r="C327" s="7" t="s">
        <v>340</v>
      </c>
      <c r="D327" s="7" t="s">
        <v>341</v>
      </c>
      <c r="E327" s="8" t="s">
        <v>342</v>
      </c>
      <c r="F327" s="9">
        <v>212</v>
      </c>
      <c r="G327" s="9">
        <v>510</v>
      </c>
      <c r="H327" s="10">
        <f>(F327+G327)*(1+0.3+0.466+0.18)+311</f>
        <v>1716.0119999999999</v>
      </c>
      <c r="K327" s="13">
        <v>0</v>
      </c>
      <c r="L327" s="13">
        <v>0.55100000000000005</v>
      </c>
      <c r="M327" s="14">
        <v>0.7</v>
      </c>
      <c r="N327" s="14">
        <f>60.25%*2+K327+L327/2+4.03%*2</f>
        <v>1.5611000000000002</v>
      </c>
      <c r="O327" s="13">
        <f>0.466+0.15+0.24+0.12+0.96</f>
        <v>1.9359999999999999</v>
      </c>
      <c r="P327" s="9">
        <f>190/(190*(1)+190)</f>
        <v>0.5</v>
      </c>
      <c r="Q327" s="9">
        <v>0.9</v>
      </c>
      <c r="R327" s="13">
        <f>184.79%</f>
        <v>1.8478999999999999</v>
      </c>
      <c r="S327" s="7" t="s">
        <v>343</v>
      </c>
      <c r="T327" s="10">
        <f>H327*R327*(1+O327)*(1+N327*M327)*P327*Q327</f>
        <v>8767.7640115264785</v>
      </c>
    </row>
    <row r="329" spans="1:20" x14ac:dyDescent="0.25">
      <c r="A329" s="7" t="s">
        <v>9</v>
      </c>
      <c r="B329" s="7" t="s">
        <v>10</v>
      </c>
      <c r="C329" s="7" t="s">
        <v>11</v>
      </c>
      <c r="D329" s="7" t="s">
        <v>12</v>
      </c>
      <c r="E329" s="8" t="s">
        <v>13</v>
      </c>
      <c r="F329" s="9" t="s">
        <v>14</v>
      </c>
      <c r="G329" s="9" t="s">
        <v>15</v>
      </c>
      <c r="H329" s="10" t="s">
        <v>16</v>
      </c>
      <c r="J329" s="15"/>
      <c r="K329" s="13" t="s">
        <v>19</v>
      </c>
      <c r="L329" s="13" t="s">
        <v>20</v>
      </c>
      <c r="M329" s="14" t="s">
        <v>21</v>
      </c>
      <c r="N329" s="14" t="s">
        <v>22</v>
      </c>
      <c r="O329" s="13" t="s">
        <v>23</v>
      </c>
      <c r="P329" s="9" t="s">
        <v>24</v>
      </c>
      <c r="Q329" s="9" t="s">
        <v>25</v>
      </c>
      <c r="R329" s="13" t="s">
        <v>26</v>
      </c>
      <c r="S329" s="7" t="s">
        <v>27</v>
      </c>
      <c r="T329" s="10" t="s">
        <v>28</v>
      </c>
    </row>
    <row r="330" spans="1:20" x14ac:dyDescent="0.25">
      <c r="A330" s="7" t="s">
        <v>345</v>
      </c>
      <c r="B330" s="7" t="s">
        <v>243</v>
      </c>
      <c r="C330" s="7" t="s">
        <v>340</v>
      </c>
      <c r="D330" s="7" t="s">
        <v>341</v>
      </c>
      <c r="E330" s="8" t="s">
        <v>179</v>
      </c>
      <c r="F330" s="9">
        <v>212</v>
      </c>
      <c r="G330" s="9">
        <v>674</v>
      </c>
      <c r="H330" s="10">
        <f>(F330+G330)*(1+0.3+0.466+0.18+0.24)+311</f>
        <v>2247.7960000000003</v>
      </c>
      <c r="K330" s="13">
        <v>0</v>
      </c>
      <c r="L330" s="13">
        <v>0.441</v>
      </c>
      <c r="M330" s="14">
        <f>60.25%+K330/2+L330/4</f>
        <v>0.71274999999999999</v>
      </c>
      <c r="N330" s="14">
        <f>60.25%*2+K330+L330/2</f>
        <v>1.4255</v>
      </c>
      <c r="O330" s="13">
        <f>0.466+0.15+0.4</f>
        <v>1.016</v>
      </c>
      <c r="P330" s="9">
        <f t="shared" ref="P330:P336" si="38">190/(190*(1)+190)</f>
        <v>0.5</v>
      </c>
      <c r="Q330" s="9">
        <v>0.9</v>
      </c>
      <c r="R330" s="13">
        <v>3.145</v>
      </c>
      <c r="S330" s="7" t="s">
        <v>346</v>
      </c>
      <c r="T330" s="10">
        <f>H330*R330*(1+O330)*(1+N330)*P330*Q330</f>
        <v>15555.424394098514</v>
      </c>
    </row>
    <row r="331" spans="1:20" x14ac:dyDescent="0.25">
      <c r="A331" s="7" t="s">
        <v>345</v>
      </c>
      <c r="B331" s="7" t="s">
        <v>110</v>
      </c>
      <c r="C331" s="7" t="s">
        <v>340</v>
      </c>
      <c r="D331" s="7" t="s">
        <v>341</v>
      </c>
      <c r="E331" s="8" t="s">
        <v>179</v>
      </c>
      <c r="F331" s="9">
        <v>212</v>
      </c>
      <c r="G331" s="9">
        <v>542</v>
      </c>
      <c r="H331" s="10">
        <f>(F331+G331)*(1+0.3+0.466+0.18+0.24)+311+1.2%*(10875*(1+0.2+0.2)+4780)</f>
        <v>2199.3040000000001</v>
      </c>
      <c r="K331" s="13">
        <v>0.441</v>
      </c>
      <c r="L331" s="13">
        <v>0</v>
      </c>
      <c r="M331" s="14">
        <v>0.8</v>
      </c>
      <c r="N331" s="14">
        <f>60.25%*2+K331+L331/2+2.3%*2</f>
        <v>1.6920000000000002</v>
      </c>
      <c r="O331" s="13">
        <f>0.466+0.15</f>
        <v>0.61599999999999999</v>
      </c>
      <c r="P331" s="9">
        <f t="shared" si="38"/>
        <v>0.5</v>
      </c>
      <c r="Q331" s="9">
        <v>0.9</v>
      </c>
      <c r="R331" s="13">
        <v>3.145</v>
      </c>
      <c r="S331" s="7" t="s">
        <v>346</v>
      </c>
      <c r="T331" s="10">
        <f>H331*R331*(1+O331)*(1+N331)*P331*Q331</f>
        <v>13540.504306776194</v>
      </c>
    </row>
    <row r="332" spans="1:20" x14ac:dyDescent="0.25">
      <c r="A332" s="7" t="s">
        <v>345</v>
      </c>
      <c r="B332" s="7" t="s">
        <v>135</v>
      </c>
      <c r="C332" s="7" t="s">
        <v>340</v>
      </c>
      <c r="D332" s="7" t="s">
        <v>341</v>
      </c>
      <c r="E332" s="8" t="s">
        <v>179</v>
      </c>
      <c r="F332" s="9">
        <v>212</v>
      </c>
      <c r="G332" s="9">
        <v>510</v>
      </c>
      <c r="H332" s="10">
        <f>(F332+G332)*(1+0.3+0.466+0.18+0.24)+311</f>
        <v>1889.2919999999999</v>
      </c>
      <c r="K332" s="13">
        <v>0.27600000000000002</v>
      </c>
      <c r="L332" s="13">
        <v>0</v>
      </c>
      <c r="M332" s="14">
        <f>60.25%+K332/2+L332/4</f>
        <v>0.74050000000000005</v>
      </c>
      <c r="N332" s="14">
        <f>60.25%*2+K332+L332/2</f>
        <v>1.4810000000000001</v>
      </c>
      <c r="O332" s="13">
        <f>0.466+0.15</f>
        <v>0.61599999999999999</v>
      </c>
      <c r="P332" s="9">
        <f t="shared" si="38"/>
        <v>0.5</v>
      </c>
      <c r="Q332" s="9">
        <v>0.9</v>
      </c>
      <c r="R332" s="13">
        <v>3.145</v>
      </c>
      <c r="S332" s="7" t="s">
        <v>346</v>
      </c>
      <c r="T332" s="10">
        <f>H332*R332*(1+O332)*(1+N332)*P332*Q332</f>
        <v>10720.137847395887</v>
      </c>
    </row>
    <row r="334" spans="1:20" x14ac:dyDescent="0.25">
      <c r="A334" s="7" t="s">
        <v>9</v>
      </c>
      <c r="B334" s="7" t="s">
        <v>10</v>
      </c>
      <c r="C334" s="7" t="s">
        <v>11</v>
      </c>
      <c r="D334" s="7" t="s">
        <v>12</v>
      </c>
      <c r="E334" s="8" t="s">
        <v>13</v>
      </c>
      <c r="F334" s="9" t="s">
        <v>14</v>
      </c>
      <c r="G334" s="9" t="s">
        <v>15</v>
      </c>
      <c r="H334" s="10" t="s">
        <v>16</v>
      </c>
      <c r="I334" s="11" t="s">
        <v>39</v>
      </c>
      <c r="J334" s="15" t="s">
        <v>347</v>
      </c>
      <c r="K334" s="13" t="s">
        <v>19</v>
      </c>
      <c r="L334" s="13" t="s">
        <v>20</v>
      </c>
      <c r="M334" s="14" t="s">
        <v>21</v>
      </c>
      <c r="N334" s="14" t="s">
        <v>22</v>
      </c>
      <c r="O334" s="13" t="s">
        <v>23</v>
      </c>
      <c r="P334" s="9" t="s">
        <v>24</v>
      </c>
      <c r="Q334" s="9" t="s">
        <v>25</v>
      </c>
      <c r="R334" s="13" t="s">
        <v>26</v>
      </c>
      <c r="S334" s="7" t="s">
        <v>27</v>
      </c>
      <c r="T334" s="10" t="s">
        <v>28</v>
      </c>
    </row>
    <row r="335" spans="1:20" x14ac:dyDescent="0.25">
      <c r="A335" s="7" t="s">
        <v>348</v>
      </c>
      <c r="B335" s="7" t="s">
        <v>41</v>
      </c>
      <c r="C335" s="7" t="s">
        <v>318</v>
      </c>
      <c r="D335" s="7" t="s">
        <v>349</v>
      </c>
      <c r="E335" s="8" t="s">
        <v>92</v>
      </c>
      <c r="F335" s="9">
        <v>191</v>
      </c>
      <c r="G335" s="9">
        <v>565</v>
      </c>
      <c r="H335" s="10">
        <f>(F335+G335)*(1+0.2)+311</f>
        <v>1218.1999999999998</v>
      </c>
      <c r="I335" s="21">
        <f>1+0.306+0.6+0.267</f>
        <v>2.173</v>
      </c>
      <c r="J335" s="11">
        <f>734*(1+0.062*6+0.3+0.583*2)</f>
        <v>2083.0920000000001</v>
      </c>
      <c r="K335" s="13">
        <v>0</v>
      </c>
      <c r="L335" s="13">
        <v>0</v>
      </c>
      <c r="M335" s="14">
        <v>0.6</v>
      </c>
      <c r="N335" s="14" t="s">
        <v>45</v>
      </c>
      <c r="O335" s="13" t="s">
        <v>46</v>
      </c>
      <c r="P335" s="9">
        <f t="shared" si="38"/>
        <v>0.5</v>
      </c>
      <c r="Q335" s="9">
        <v>0.9</v>
      </c>
      <c r="R335" s="13" t="s">
        <v>46</v>
      </c>
      <c r="S335" s="7" t="s">
        <v>46</v>
      </c>
      <c r="T335" s="10" t="s">
        <v>45</v>
      </c>
    </row>
    <row r="336" spans="1:20" x14ac:dyDescent="0.25">
      <c r="A336" s="7" t="s">
        <v>348</v>
      </c>
      <c r="B336" s="7" t="s">
        <v>116</v>
      </c>
      <c r="C336" s="7" t="s">
        <v>318</v>
      </c>
      <c r="D336" s="7" t="s">
        <v>78</v>
      </c>
      <c r="E336" s="8" t="s">
        <v>92</v>
      </c>
      <c r="F336" s="9">
        <v>191</v>
      </c>
      <c r="G336" s="9">
        <v>565</v>
      </c>
      <c r="H336" s="10">
        <f>(F336+G336)*(1+0.2)+311</f>
        <v>1218.1999999999998</v>
      </c>
      <c r="I336" s="21">
        <f>1+0.7+0.267</f>
        <v>1.9670000000000001</v>
      </c>
      <c r="J336" s="11">
        <f>734*(1+0.062*6+0.3+0.583*3)</f>
        <v>2511.0139999999997</v>
      </c>
      <c r="K336" s="13">
        <v>0</v>
      </c>
      <c r="L336" s="13">
        <v>0</v>
      </c>
      <c r="M336" s="14" t="s">
        <v>45</v>
      </c>
      <c r="N336" s="14" t="s">
        <v>45</v>
      </c>
      <c r="O336" s="13" t="s">
        <v>46</v>
      </c>
      <c r="P336" s="9">
        <f t="shared" si="38"/>
        <v>0.5</v>
      </c>
      <c r="Q336" s="9">
        <v>0.9</v>
      </c>
      <c r="R336" s="13" t="s">
        <v>46</v>
      </c>
      <c r="S336" s="7" t="s">
        <v>46</v>
      </c>
      <c r="T336" s="10" t="s">
        <v>45</v>
      </c>
    </row>
  </sheetData>
  <mergeCells count="14">
    <mergeCell ref="A7:E9"/>
    <mergeCell ref="F7:I9"/>
    <mergeCell ref="J7:N9"/>
    <mergeCell ref="O7:T9"/>
    <mergeCell ref="A1:T1"/>
    <mergeCell ref="A10:T10"/>
    <mergeCell ref="A68:T68"/>
    <mergeCell ref="A117:T117"/>
    <mergeCell ref="A164:T164"/>
    <mergeCell ref="A299:T299"/>
    <mergeCell ref="A2:E6"/>
    <mergeCell ref="F2:I6"/>
    <mergeCell ref="J2:N6"/>
    <mergeCell ref="O2:T6"/>
  </mergeCells>
  <phoneticPr fontId="12" type="noConversion"/>
  <pageMargins left="0.75" right="0.75" top="1" bottom="1" header="0.51180555555555551" footer="0.511805555555555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73" zoomScaleSheetLayoutView="100" workbookViewId="0">
      <selection activeCell="N108" sqref="N108"/>
    </sheetView>
  </sheetViews>
  <sheetFormatPr defaultColWidth="9" defaultRowHeight="15" x14ac:dyDescent="0.25"/>
  <sheetData>
    <row r="1" spans="1:1" x14ac:dyDescent="0.25">
      <c r="A1" t="s">
        <v>350</v>
      </c>
    </row>
    <row r="2" spans="1:1" x14ac:dyDescent="0.25">
      <c r="A2" t="s">
        <v>351</v>
      </c>
    </row>
    <row r="3" spans="1:1" x14ac:dyDescent="0.25">
      <c r="A3" t="s">
        <v>352</v>
      </c>
    </row>
    <row r="4" spans="1:1" x14ac:dyDescent="0.25">
      <c r="A4" t="s">
        <v>353</v>
      </c>
    </row>
    <row r="5" spans="1:1" x14ac:dyDescent="0.25">
      <c r="A5" t="s">
        <v>354</v>
      </c>
    </row>
    <row r="6" spans="1:1" x14ac:dyDescent="0.25">
      <c r="A6" t="s">
        <v>355</v>
      </c>
    </row>
    <row r="7" spans="1:1" x14ac:dyDescent="0.25">
      <c r="A7" t="s">
        <v>356</v>
      </c>
    </row>
    <row r="9" spans="1:1" x14ac:dyDescent="0.25">
      <c r="A9" t="s">
        <v>357</v>
      </c>
    </row>
    <row r="10" spans="1:1" x14ac:dyDescent="0.25">
      <c r="A10" s="1" t="s">
        <v>358</v>
      </c>
    </row>
    <row r="11" spans="1:1" x14ac:dyDescent="0.25">
      <c r="A11" s="1" t="s">
        <v>359</v>
      </c>
    </row>
    <row r="12" spans="1:1" x14ac:dyDescent="0.25">
      <c r="A12" s="2" t="s">
        <v>360</v>
      </c>
    </row>
    <row r="13" spans="1:1" x14ac:dyDescent="0.25">
      <c r="A13" s="2" t="s">
        <v>361</v>
      </c>
    </row>
    <row r="14" spans="1:1" x14ac:dyDescent="0.25">
      <c r="A14" s="2" t="s">
        <v>362</v>
      </c>
    </row>
    <row r="15" spans="1:1" x14ac:dyDescent="0.25">
      <c r="A15" s="2" t="s">
        <v>363</v>
      </c>
    </row>
    <row r="16" spans="1:1" x14ac:dyDescent="0.25">
      <c r="A16" s="2" t="s">
        <v>364</v>
      </c>
    </row>
    <row r="17" spans="1:1" x14ac:dyDescent="0.25">
      <c r="A17" s="2" t="s">
        <v>365</v>
      </c>
    </row>
    <row r="19" spans="1:1" x14ac:dyDescent="0.25">
      <c r="A19" t="s">
        <v>366</v>
      </c>
    </row>
    <row r="20" spans="1:1" x14ac:dyDescent="0.25">
      <c r="A20" t="s">
        <v>367</v>
      </c>
    </row>
    <row r="23" spans="1:1" x14ac:dyDescent="0.25">
      <c r="A23" s="1" t="s">
        <v>368</v>
      </c>
    </row>
    <row r="24" spans="1:1" x14ac:dyDescent="0.25">
      <c r="A24" s="1" t="s">
        <v>369</v>
      </c>
    </row>
    <row r="25" spans="1:1" x14ac:dyDescent="0.25">
      <c r="A25" s="1" t="s">
        <v>370</v>
      </c>
    </row>
    <row r="26" spans="1:1" x14ac:dyDescent="0.25">
      <c r="A26" s="1" t="s">
        <v>371</v>
      </c>
    </row>
    <row r="29" spans="1:1" x14ac:dyDescent="0.25">
      <c r="A29" s="1" t="s">
        <v>372</v>
      </c>
    </row>
    <row r="30" spans="1:1" x14ac:dyDescent="0.25">
      <c r="A30" s="1" t="s">
        <v>373</v>
      </c>
    </row>
    <row r="31" spans="1:1" x14ac:dyDescent="0.25">
      <c r="A31" s="1" t="s">
        <v>374</v>
      </c>
    </row>
    <row r="32" spans="1:1" x14ac:dyDescent="0.25">
      <c r="A32" s="1" t="s">
        <v>375</v>
      </c>
    </row>
    <row r="33" spans="1:1" x14ac:dyDescent="0.25">
      <c r="A33" s="1" t="s">
        <v>376</v>
      </c>
    </row>
    <row r="34" spans="1:1" x14ac:dyDescent="0.25">
      <c r="A34" s="1" t="s">
        <v>377</v>
      </c>
    </row>
    <row r="35" spans="1:1" x14ac:dyDescent="0.25">
      <c r="A35" s="1" t="s">
        <v>378</v>
      </c>
    </row>
    <row r="38" spans="1:1" x14ac:dyDescent="0.25">
      <c r="A38" s="1" t="s">
        <v>379</v>
      </c>
    </row>
    <row r="39" spans="1:1" x14ac:dyDescent="0.25">
      <c r="A39" s="1" t="s">
        <v>380</v>
      </c>
    </row>
    <row r="40" spans="1:1" x14ac:dyDescent="0.25">
      <c r="A40" s="1" t="s">
        <v>381</v>
      </c>
    </row>
    <row r="41" spans="1:1" x14ac:dyDescent="0.25">
      <c r="A41" s="1" t="s">
        <v>382</v>
      </c>
    </row>
    <row r="42" spans="1:1" x14ac:dyDescent="0.25">
      <c r="A42" s="1" t="s">
        <v>383</v>
      </c>
    </row>
    <row r="43" spans="1:1" x14ac:dyDescent="0.25">
      <c r="A43" s="1" t="s">
        <v>384</v>
      </c>
    </row>
    <row r="44" spans="1:1" x14ac:dyDescent="0.25">
      <c r="A44" s="1" t="s">
        <v>385</v>
      </c>
    </row>
    <row r="45" spans="1:1" x14ac:dyDescent="0.25">
      <c r="A45" s="1" t="s">
        <v>386</v>
      </c>
    </row>
    <row r="46" spans="1:1" x14ac:dyDescent="0.25">
      <c r="A46" s="1" t="s">
        <v>387</v>
      </c>
    </row>
    <row r="48" spans="1:1" x14ac:dyDescent="0.25">
      <c r="A48" s="1" t="s">
        <v>388</v>
      </c>
    </row>
    <row r="49" spans="1:1" x14ac:dyDescent="0.25">
      <c r="A49" s="1" t="s">
        <v>389</v>
      </c>
    </row>
    <row r="50" spans="1:1" x14ac:dyDescent="0.25">
      <c r="A50" s="1" t="s">
        <v>390</v>
      </c>
    </row>
    <row r="51" spans="1:1" x14ac:dyDescent="0.25">
      <c r="A51" s="1" t="s">
        <v>391</v>
      </c>
    </row>
    <row r="53" spans="1:1" x14ac:dyDescent="0.25">
      <c r="A53" s="1" t="s">
        <v>392</v>
      </c>
    </row>
    <row r="54" spans="1:1" x14ac:dyDescent="0.25">
      <c r="A54" s="1" t="s">
        <v>393</v>
      </c>
    </row>
    <row r="55" spans="1:1" x14ac:dyDescent="0.25">
      <c r="A55" s="1" t="s">
        <v>394</v>
      </c>
    </row>
    <row r="56" spans="1:1" x14ac:dyDescent="0.25">
      <c r="A56" s="1" t="s">
        <v>395</v>
      </c>
    </row>
    <row r="57" spans="1:1" x14ac:dyDescent="0.25">
      <c r="A57" s="1" t="s">
        <v>396</v>
      </c>
    </row>
    <row r="58" spans="1:1" x14ac:dyDescent="0.25">
      <c r="A58" s="1" t="s">
        <v>397</v>
      </c>
    </row>
    <row r="59" spans="1:1" x14ac:dyDescent="0.25">
      <c r="A59" s="1" t="s">
        <v>398</v>
      </c>
    </row>
    <row r="60" spans="1:1" x14ac:dyDescent="0.25">
      <c r="A60" s="1" t="s">
        <v>399</v>
      </c>
    </row>
    <row r="61" spans="1:1" x14ac:dyDescent="0.25">
      <c r="A61" s="1" t="s">
        <v>400</v>
      </c>
    </row>
    <row r="62" spans="1:1" x14ac:dyDescent="0.25">
      <c r="A62" s="1" t="s">
        <v>401</v>
      </c>
    </row>
    <row r="63" spans="1:1" x14ac:dyDescent="0.25">
      <c r="A63" s="1" t="s">
        <v>402</v>
      </c>
    </row>
    <row r="64" spans="1:1" x14ac:dyDescent="0.25">
      <c r="A64" s="1" t="s">
        <v>403</v>
      </c>
    </row>
    <row r="66" spans="1:1" x14ac:dyDescent="0.25">
      <c r="A66" t="s">
        <v>404</v>
      </c>
    </row>
    <row r="67" spans="1:1" x14ac:dyDescent="0.25">
      <c r="A67" s="1" t="s">
        <v>405</v>
      </c>
    </row>
    <row r="68" spans="1:1" x14ac:dyDescent="0.25">
      <c r="A68" s="1" t="s">
        <v>406</v>
      </c>
    </row>
    <row r="69" spans="1:1" x14ac:dyDescent="0.25">
      <c r="A69" s="2" t="s">
        <v>407</v>
      </c>
    </row>
    <row r="70" spans="1:1" x14ac:dyDescent="0.25">
      <c r="A70" s="2" t="s">
        <v>408</v>
      </c>
    </row>
    <row r="71" spans="1:1" x14ac:dyDescent="0.25">
      <c r="A71" s="1" t="s">
        <v>409</v>
      </c>
    </row>
    <row r="72" spans="1:1" x14ac:dyDescent="0.25">
      <c r="A72" s="1" t="s">
        <v>410</v>
      </c>
    </row>
    <row r="74" spans="1:1" x14ac:dyDescent="0.25">
      <c r="A74" s="3">
        <v>3.1</v>
      </c>
    </row>
    <row r="75" spans="1:1" x14ac:dyDescent="0.25">
      <c r="A75" s="1" t="s">
        <v>411</v>
      </c>
    </row>
    <row r="76" spans="1:1" x14ac:dyDescent="0.25">
      <c r="A76" t="s">
        <v>412</v>
      </c>
    </row>
    <row r="77" spans="1:1" x14ac:dyDescent="0.25">
      <c r="A77" t="s">
        <v>413</v>
      </c>
    </row>
    <row r="78" spans="1:1" x14ac:dyDescent="0.25">
      <c r="A78" s="1" t="s">
        <v>414</v>
      </c>
    </row>
    <row r="79" spans="1:1" x14ac:dyDescent="0.25">
      <c r="A79" s="1" t="s">
        <v>415</v>
      </c>
    </row>
    <row r="80" spans="1:1" x14ac:dyDescent="0.25">
      <c r="A80" s="1" t="s">
        <v>416</v>
      </c>
    </row>
    <row r="81" spans="1:6" x14ac:dyDescent="0.25">
      <c r="A81" s="1" t="s">
        <v>417</v>
      </c>
    </row>
    <row r="83" spans="1:6" x14ac:dyDescent="0.25">
      <c r="A83" s="4" t="s">
        <v>418</v>
      </c>
    </row>
    <row r="84" spans="1:6" x14ac:dyDescent="0.25">
      <c r="A84" s="1" t="s">
        <v>419</v>
      </c>
    </row>
    <row r="85" spans="1:6" x14ac:dyDescent="0.25">
      <c r="A85" s="1" t="s">
        <v>420</v>
      </c>
    </row>
    <row r="86" spans="1:6" x14ac:dyDescent="0.25">
      <c r="A86" s="1" t="s">
        <v>421</v>
      </c>
    </row>
    <row r="87" spans="1:6" x14ac:dyDescent="0.25">
      <c r="A87" s="1"/>
    </row>
    <row r="88" spans="1:6" x14ac:dyDescent="0.25">
      <c r="A88" s="4" t="s">
        <v>422</v>
      </c>
    </row>
    <row r="89" spans="1:6" x14ac:dyDescent="0.25">
      <c r="A89" s="1" t="s">
        <v>423</v>
      </c>
      <c r="F89" s="1"/>
    </row>
    <row r="90" spans="1:6" x14ac:dyDescent="0.25">
      <c r="A90" s="1" t="s">
        <v>424</v>
      </c>
      <c r="F90" s="1"/>
    </row>
    <row r="91" spans="1:6" x14ac:dyDescent="0.25">
      <c r="A91" s="1" t="s">
        <v>425</v>
      </c>
      <c r="F91" s="1"/>
    </row>
    <row r="92" spans="1:6" x14ac:dyDescent="0.25">
      <c r="A92" s="1" t="s">
        <v>426</v>
      </c>
      <c r="F92" s="1"/>
    </row>
    <row r="93" spans="1:6" x14ac:dyDescent="0.25">
      <c r="A93" s="1" t="s">
        <v>427</v>
      </c>
      <c r="F93" s="1"/>
    </row>
    <row r="94" spans="1:6" x14ac:dyDescent="0.25">
      <c r="A94" s="1" t="s">
        <v>428</v>
      </c>
      <c r="F94" s="1"/>
    </row>
    <row r="95" spans="1:6" x14ac:dyDescent="0.25">
      <c r="A95" s="1" t="s">
        <v>429</v>
      </c>
      <c r="F95" s="1"/>
    </row>
    <row r="96" spans="1:6" x14ac:dyDescent="0.25">
      <c r="A96" s="1" t="s">
        <v>430</v>
      </c>
      <c r="F96" s="1"/>
    </row>
    <row r="97" spans="1:6" x14ac:dyDescent="0.25">
      <c r="A97" s="1" t="s">
        <v>431</v>
      </c>
      <c r="F97" s="1"/>
    </row>
    <row r="98" spans="1:6" x14ac:dyDescent="0.25">
      <c r="A98" s="1" t="s">
        <v>432</v>
      </c>
      <c r="F98" s="1"/>
    </row>
    <row r="99" spans="1:6" x14ac:dyDescent="0.25">
      <c r="A99" s="1" t="s">
        <v>433</v>
      </c>
      <c r="F99" s="1"/>
    </row>
    <row r="100" spans="1:6" x14ac:dyDescent="0.25">
      <c r="A100" s="1" t="s">
        <v>434</v>
      </c>
      <c r="F100" s="1"/>
    </row>
    <row r="101" spans="1:6" x14ac:dyDescent="0.25">
      <c r="A101" s="1" t="s">
        <v>435</v>
      </c>
    </row>
    <row r="102" spans="1:6" x14ac:dyDescent="0.25">
      <c r="A102" s="1"/>
    </row>
    <row r="103" spans="1:6" x14ac:dyDescent="0.25">
      <c r="A103" s="3">
        <v>3.3</v>
      </c>
    </row>
    <row r="104" spans="1:6" x14ac:dyDescent="0.25">
      <c r="A104" s="3" t="s">
        <v>436</v>
      </c>
    </row>
    <row r="105" spans="1:6" x14ac:dyDescent="0.25">
      <c r="A105" s="1" t="s">
        <v>435</v>
      </c>
    </row>
    <row r="106" spans="1:6" x14ac:dyDescent="0.25">
      <c r="A106" t="s">
        <v>437</v>
      </c>
    </row>
    <row r="107" spans="1:6" x14ac:dyDescent="0.25">
      <c r="A107" t="s">
        <v>438</v>
      </c>
    </row>
  </sheetData>
  <phoneticPr fontId="1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正表</vt:lpstr>
      <vt:lpstr>更新and修正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Wuyi无疑</cp:lastModifiedBy>
  <dcterms:created xsi:type="dcterms:W3CDTF">2016-12-02T08:54:00Z</dcterms:created>
  <dcterms:modified xsi:type="dcterms:W3CDTF">2022-12-12T13:29:36Z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F407ECE881A546CD98760BC1B2D32BB7</vt:lpwstr>
  </property>
</Properties>
</file>