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hidePivotFieldList="1"/>
  <mc:AlternateContent xmlns:mc="http://schemas.openxmlformats.org/markup-compatibility/2006">
    <mc:Choice Requires="x15">
      <x15ac:absPath xmlns:x15ac="http://schemas.microsoft.com/office/spreadsheetml/2010/11/ac" url="/Users/donnybaseball28/Downloads/"/>
    </mc:Choice>
  </mc:AlternateContent>
  <xr:revisionPtr revIDLastSave="0" documentId="8_{8570FA22-8010-DD41-B2D9-FF905A89F5E2}" xr6:coauthVersionLast="47" xr6:coauthVersionMax="47" xr10:uidLastSave="{00000000-0000-0000-0000-000000000000}"/>
  <bookViews>
    <workbookView xWindow="10240" yWindow="0" windowWidth="18560" windowHeight="18000" firstSheet="7" activeTab="8" xr2:uid="{F2184348-06FB-8548-B6A4-FD3A0155B7A6}"/>
  </bookViews>
  <sheets>
    <sheet name="Raw Data" sheetId="1" r:id="rId1"/>
    <sheet name="Cleaned Data" sheetId="2" r:id="rId2"/>
    <sheet name="Summary Tables" sheetId="3" r:id="rId3"/>
    <sheet name="Pivot Tables" sheetId="4" r:id="rId4"/>
    <sheet name="Charts &amp; Graphs" sheetId="5" r:id="rId5"/>
    <sheet name="Prospect Data" sheetId="6" r:id="rId6"/>
    <sheet name="Comparative Analysis" sheetId="7" r:id="rId7"/>
    <sheet name="Dashboard (Projected Prospects)" sheetId="8" r:id="rId8"/>
    <sheet name="Top 50 Hitters to MLB  " sheetId="9" r:id="rId9"/>
  </sheets>
  <externalReferences>
    <externalReference r:id="rId10"/>
  </externalReferences>
  <definedNames>
    <definedName name="_xlnm._FilterDatabase" localSheetId="1" hidden="1">'Cleaned Data'!$A$2:$R$37</definedName>
    <definedName name="_xlnm._FilterDatabase" localSheetId="0" hidden="1">'Raw Data'!$A$1:$AI$83</definedName>
    <definedName name="_xlnm._FilterDatabase" localSheetId="2" hidden="1">'Summary Tables'!$A$16:$E$57</definedName>
  </definedNames>
  <calcPr calcId="191028"/>
  <pivotCaches>
    <pivotCache cacheId="0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9" l="1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5" i="9"/>
  <c r="R36" i="9"/>
  <c r="R37" i="9"/>
  <c r="R38" i="9"/>
  <c r="R39" i="9"/>
  <c r="R3" i="9"/>
  <c r="R4" i="9"/>
  <c r="R2" i="9"/>
  <c r="T19" i="9"/>
  <c r="T20" i="9"/>
  <c r="T21" i="9"/>
  <c r="T22" i="9"/>
  <c r="T23" i="9"/>
  <c r="T24" i="9"/>
  <c r="T25" i="9"/>
  <c r="T26" i="9"/>
  <c r="T27" i="9"/>
  <c r="T28" i="9"/>
  <c r="T29" i="9"/>
  <c r="T30" i="9"/>
  <c r="T31" i="9"/>
  <c r="T32" i="9"/>
  <c r="T33" i="9"/>
  <c r="T34" i="9"/>
  <c r="T35" i="9"/>
  <c r="T36" i="9"/>
  <c r="T37" i="9"/>
  <c r="T38" i="9"/>
  <c r="T39" i="9"/>
  <c r="T8" i="9"/>
  <c r="T9" i="9"/>
  <c r="T10" i="9"/>
  <c r="T11" i="9"/>
  <c r="T12" i="9"/>
  <c r="T13" i="9"/>
  <c r="T14" i="9"/>
  <c r="T15" i="9"/>
  <c r="T16" i="9"/>
  <c r="T17" i="9"/>
  <c r="T18" i="9"/>
  <c r="T4" i="9"/>
  <c r="T5" i="9"/>
  <c r="T6" i="9"/>
  <c r="T7" i="9"/>
  <c r="T3" i="9"/>
  <c r="T2" i="9"/>
  <c r="BB18" i="9"/>
  <c r="BB23" i="9"/>
  <c r="BB26" i="9"/>
  <c r="BJ26" i="9" s="1"/>
  <c r="AH6" i="9"/>
  <c r="AH7" i="9"/>
  <c r="AH8" i="9"/>
  <c r="AH9" i="9"/>
  <c r="AH10" i="9"/>
  <c r="AH11" i="9"/>
  <c r="AH12" i="9"/>
  <c r="AH13" i="9"/>
  <c r="AH14" i="9"/>
  <c r="AH15" i="9"/>
  <c r="AH16" i="9"/>
  <c r="AH17" i="9"/>
  <c r="AH18" i="9"/>
  <c r="AH19" i="9"/>
  <c r="AH20" i="9"/>
  <c r="AH21" i="9"/>
  <c r="AH22" i="9"/>
  <c r="AH23" i="9"/>
  <c r="AH24" i="9"/>
  <c r="AH25" i="9"/>
  <c r="AH26" i="9"/>
  <c r="AH27" i="9"/>
  <c r="AH28" i="9"/>
  <c r="AH29" i="9"/>
  <c r="AH30" i="9"/>
  <c r="AH31" i="9"/>
  <c r="AH32" i="9"/>
  <c r="AH33" i="9"/>
  <c r="AH34" i="9"/>
  <c r="AH35" i="9"/>
  <c r="AH36" i="9"/>
  <c r="AH37" i="9"/>
  <c r="AH38" i="9"/>
  <c r="AH39" i="9"/>
  <c r="AH40" i="9"/>
  <c r="AH4" i="9"/>
  <c r="AH5" i="9"/>
  <c r="AH3" i="9"/>
  <c r="BB3" i="9" s="1"/>
  <c r="BI4" i="9"/>
  <c r="BI5" i="9"/>
  <c r="BI6" i="9"/>
  <c r="BI7" i="9"/>
  <c r="BI8" i="9"/>
  <c r="BI9" i="9"/>
  <c r="BI10" i="9"/>
  <c r="BI11" i="9"/>
  <c r="BI12" i="9"/>
  <c r="BI13" i="9"/>
  <c r="BI14" i="9"/>
  <c r="BI15" i="9"/>
  <c r="BI16" i="9"/>
  <c r="BI17" i="9"/>
  <c r="BI18" i="9"/>
  <c r="BI19" i="9"/>
  <c r="BI20" i="9"/>
  <c r="BI21" i="9"/>
  <c r="BI22" i="9"/>
  <c r="BI23" i="9"/>
  <c r="BI24" i="9"/>
  <c r="BI25" i="9"/>
  <c r="BI26" i="9"/>
  <c r="BI27" i="9"/>
  <c r="BI28" i="9"/>
  <c r="BI29" i="9"/>
  <c r="BI30" i="9"/>
  <c r="BI31" i="9"/>
  <c r="BI32" i="9"/>
  <c r="BI33" i="9"/>
  <c r="BI34" i="9"/>
  <c r="BI35" i="9"/>
  <c r="BI36" i="9"/>
  <c r="BI37" i="9"/>
  <c r="BI38" i="9"/>
  <c r="BI39" i="9"/>
  <c r="BI40" i="9"/>
  <c r="BI3" i="9"/>
  <c r="BH4" i="9"/>
  <c r="BH5" i="9"/>
  <c r="BH6" i="9"/>
  <c r="BH7" i="9"/>
  <c r="BH8" i="9"/>
  <c r="BH9" i="9"/>
  <c r="BH10" i="9"/>
  <c r="BH11" i="9"/>
  <c r="BH12" i="9"/>
  <c r="BH13" i="9"/>
  <c r="BH14" i="9"/>
  <c r="BH15" i="9"/>
  <c r="BH16" i="9"/>
  <c r="BH17" i="9"/>
  <c r="BH18" i="9"/>
  <c r="BH19" i="9"/>
  <c r="BH20" i="9"/>
  <c r="BH21" i="9"/>
  <c r="BH22" i="9"/>
  <c r="BH23" i="9"/>
  <c r="BH24" i="9"/>
  <c r="BH25" i="9"/>
  <c r="BH26" i="9"/>
  <c r="BH27" i="9"/>
  <c r="BH28" i="9"/>
  <c r="BH29" i="9"/>
  <c r="BH30" i="9"/>
  <c r="BH31" i="9"/>
  <c r="BH32" i="9"/>
  <c r="BH33" i="9"/>
  <c r="BH34" i="9"/>
  <c r="BH35" i="9"/>
  <c r="BH36" i="9"/>
  <c r="BH37" i="9"/>
  <c r="BH38" i="9"/>
  <c r="BH39" i="9"/>
  <c r="BH40" i="9"/>
  <c r="BH3" i="9"/>
  <c r="BG4" i="9"/>
  <c r="BG5" i="9"/>
  <c r="BG6" i="9"/>
  <c r="BG7" i="9"/>
  <c r="BG8" i="9"/>
  <c r="BG9" i="9"/>
  <c r="BG10" i="9"/>
  <c r="BG11" i="9"/>
  <c r="BG12" i="9"/>
  <c r="BG13" i="9"/>
  <c r="BG14" i="9"/>
  <c r="BG15" i="9"/>
  <c r="BG16" i="9"/>
  <c r="BG17" i="9"/>
  <c r="BG18" i="9"/>
  <c r="BG19" i="9"/>
  <c r="BG20" i="9"/>
  <c r="BG21" i="9"/>
  <c r="BG22" i="9"/>
  <c r="BG23" i="9"/>
  <c r="BG24" i="9"/>
  <c r="BG25" i="9"/>
  <c r="BG26" i="9"/>
  <c r="BG27" i="9"/>
  <c r="BG28" i="9"/>
  <c r="BG29" i="9"/>
  <c r="BG30" i="9"/>
  <c r="BG31" i="9"/>
  <c r="BG32" i="9"/>
  <c r="BG33" i="9"/>
  <c r="BG34" i="9"/>
  <c r="BG35" i="9"/>
  <c r="BG36" i="9"/>
  <c r="BG37" i="9"/>
  <c r="BG38" i="9"/>
  <c r="BG39" i="9"/>
  <c r="BG40" i="9"/>
  <c r="BG3" i="9"/>
  <c r="BF4" i="9"/>
  <c r="BF5" i="9"/>
  <c r="BF6" i="9"/>
  <c r="BF7" i="9"/>
  <c r="BF8" i="9"/>
  <c r="BF9" i="9"/>
  <c r="BF10" i="9"/>
  <c r="BF11" i="9"/>
  <c r="BF12" i="9"/>
  <c r="BF13" i="9"/>
  <c r="BF14" i="9"/>
  <c r="BF15" i="9"/>
  <c r="BF16" i="9"/>
  <c r="BF17" i="9"/>
  <c r="BF18" i="9"/>
  <c r="BF19" i="9"/>
  <c r="BF20" i="9"/>
  <c r="BF21" i="9"/>
  <c r="BF22" i="9"/>
  <c r="BF23" i="9"/>
  <c r="BF24" i="9"/>
  <c r="BF25" i="9"/>
  <c r="BF26" i="9"/>
  <c r="BF27" i="9"/>
  <c r="BF28" i="9"/>
  <c r="BF29" i="9"/>
  <c r="BF30" i="9"/>
  <c r="BF31" i="9"/>
  <c r="BF32" i="9"/>
  <c r="BF33" i="9"/>
  <c r="BF34" i="9"/>
  <c r="BF35" i="9"/>
  <c r="BF36" i="9"/>
  <c r="BF37" i="9"/>
  <c r="BF38" i="9"/>
  <c r="BF39" i="9"/>
  <c r="BF40" i="9"/>
  <c r="BF3" i="9"/>
  <c r="BE4" i="9"/>
  <c r="BE5" i="9"/>
  <c r="BE6" i="9"/>
  <c r="BE7" i="9"/>
  <c r="BE8" i="9"/>
  <c r="BE9" i="9"/>
  <c r="BE10" i="9"/>
  <c r="BE11" i="9"/>
  <c r="BE12" i="9"/>
  <c r="BE13" i="9"/>
  <c r="BE14" i="9"/>
  <c r="BE15" i="9"/>
  <c r="BE16" i="9"/>
  <c r="BE17" i="9"/>
  <c r="BE18" i="9"/>
  <c r="BE19" i="9"/>
  <c r="BE20" i="9"/>
  <c r="BE21" i="9"/>
  <c r="BE22" i="9"/>
  <c r="BE23" i="9"/>
  <c r="BE24" i="9"/>
  <c r="BE25" i="9"/>
  <c r="BE26" i="9"/>
  <c r="BE27" i="9"/>
  <c r="BE28" i="9"/>
  <c r="BE29" i="9"/>
  <c r="BE30" i="9"/>
  <c r="BE31" i="9"/>
  <c r="BE32" i="9"/>
  <c r="BE33" i="9"/>
  <c r="BE34" i="9"/>
  <c r="BE35" i="9"/>
  <c r="BE36" i="9"/>
  <c r="BE37" i="9"/>
  <c r="BE38" i="9"/>
  <c r="BE39" i="9"/>
  <c r="BE40" i="9"/>
  <c r="BE3" i="9"/>
  <c r="BL3" i="9" s="1"/>
  <c r="BD6" i="9"/>
  <c r="BD7" i="9"/>
  <c r="BB7" i="9" s="1"/>
  <c r="BD8" i="9"/>
  <c r="BD9" i="9"/>
  <c r="BD10" i="9"/>
  <c r="BD11" i="9"/>
  <c r="BD12" i="9"/>
  <c r="BD13" i="9"/>
  <c r="BD14" i="9"/>
  <c r="BD15" i="9"/>
  <c r="BD16" i="9"/>
  <c r="BD17" i="9"/>
  <c r="BD18" i="9"/>
  <c r="BD19" i="9"/>
  <c r="BD20" i="9"/>
  <c r="BD21" i="9"/>
  <c r="BD22" i="9"/>
  <c r="BD23" i="9"/>
  <c r="BJ23" i="9" s="1"/>
  <c r="BD24" i="9"/>
  <c r="BD25" i="9"/>
  <c r="BD26" i="9"/>
  <c r="BD27" i="9"/>
  <c r="BD28" i="9"/>
  <c r="BD29" i="9"/>
  <c r="BD30" i="9"/>
  <c r="BD31" i="9"/>
  <c r="BD32" i="9"/>
  <c r="BD33" i="9"/>
  <c r="BD34" i="9"/>
  <c r="BD35" i="9"/>
  <c r="BD36" i="9"/>
  <c r="BD37" i="9"/>
  <c r="BD38" i="9"/>
  <c r="BD39" i="9"/>
  <c r="BB39" i="9" s="1"/>
  <c r="BD40" i="9"/>
  <c r="BD4" i="9"/>
  <c r="BD5" i="9"/>
  <c r="BD3" i="9"/>
  <c r="BJ3" i="9" s="1"/>
  <c r="BC5" i="9"/>
  <c r="BC6" i="9"/>
  <c r="BC7" i="9"/>
  <c r="BC8" i="9"/>
  <c r="BC9" i="9"/>
  <c r="BC10" i="9"/>
  <c r="BC11" i="9"/>
  <c r="BC12" i="9"/>
  <c r="BC13" i="9"/>
  <c r="BC14" i="9"/>
  <c r="BC15" i="9"/>
  <c r="BC16" i="9"/>
  <c r="BC17" i="9"/>
  <c r="BC18" i="9"/>
  <c r="BC19" i="9"/>
  <c r="BC20" i="9"/>
  <c r="BC21" i="9"/>
  <c r="BC22" i="9"/>
  <c r="BC23" i="9"/>
  <c r="U22" i="9" s="1"/>
  <c r="BC24" i="9"/>
  <c r="BC25" i="9"/>
  <c r="BC26" i="9"/>
  <c r="BC27" i="9"/>
  <c r="BC28" i="9"/>
  <c r="BC29" i="9"/>
  <c r="BC30" i="9"/>
  <c r="BC31" i="9"/>
  <c r="BC32" i="9"/>
  <c r="BC33" i="9"/>
  <c r="BC34" i="9"/>
  <c r="BC35" i="9"/>
  <c r="BC36" i="9"/>
  <c r="BC37" i="9"/>
  <c r="BC38" i="9"/>
  <c r="BC39" i="9"/>
  <c r="BC40" i="9"/>
  <c r="BC4" i="9"/>
  <c r="BC3" i="9"/>
  <c r="U2" i="9" s="1"/>
  <c r="BQ14" i="9"/>
  <c r="BQ15" i="9"/>
  <c r="BQ21" i="9"/>
  <c r="BQ24" i="9"/>
  <c r="BQ25" i="9"/>
  <c r="BQ26" i="9"/>
  <c r="BQ29" i="9"/>
  <c r="BQ12" i="9"/>
  <c r="BV31" i="9"/>
  <c r="BQ31" i="9" s="1"/>
  <c r="BV30" i="9"/>
  <c r="BQ30" i="9" s="1"/>
  <c r="BV28" i="9"/>
  <c r="BQ28" i="9" s="1"/>
  <c r="BV27" i="9"/>
  <c r="BQ27" i="9" s="1"/>
  <c r="BV23" i="9"/>
  <c r="BQ23" i="9" s="1"/>
  <c r="BV22" i="9"/>
  <c r="BQ22" i="9" s="1"/>
  <c r="BV20" i="9"/>
  <c r="BQ20" i="9" s="1"/>
  <c r="BV19" i="9"/>
  <c r="BQ19" i="9" s="1"/>
  <c r="BV18" i="9"/>
  <c r="BQ18" i="9" s="1"/>
  <c r="BV17" i="9"/>
  <c r="BQ17" i="9" s="1"/>
  <c r="BV16" i="9"/>
  <c r="BQ16" i="9" s="1"/>
  <c r="BV13" i="9"/>
  <c r="BQ13" i="9" s="1"/>
  <c r="BV11" i="9"/>
  <c r="BQ11" i="9" s="1"/>
  <c r="BQ9" i="9"/>
  <c r="BQ8" i="9"/>
  <c r="BQ7" i="9"/>
  <c r="BQ6" i="9"/>
  <c r="BQ5" i="9"/>
  <c r="BQ4" i="9"/>
  <c r="BQ3" i="9"/>
  <c r="L35" i="9"/>
  <c r="L36" i="9"/>
  <c r="L37" i="9"/>
  <c r="L38" i="9"/>
  <c r="L39" i="9"/>
  <c r="L40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4" i="9"/>
  <c r="L5" i="9"/>
  <c r="L3" i="9"/>
  <c r="K35" i="9"/>
  <c r="K36" i="9"/>
  <c r="K37" i="9"/>
  <c r="K38" i="9"/>
  <c r="K39" i="9"/>
  <c r="K40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4" i="9"/>
  <c r="K5" i="9"/>
  <c r="K3" i="9"/>
  <c r="B101" i="8"/>
  <c r="C101" i="8" s="1"/>
  <c r="E101" i="8" s="1"/>
  <c r="B100" i="8"/>
  <c r="B99" i="8"/>
  <c r="B98" i="8"/>
  <c r="C98" i="8" s="1"/>
  <c r="E98" i="8" s="1"/>
  <c r="B97" i="8"/>
  <c r="C97" i="8" s="1"/>
  <c r="E97" i="8" s="1"/>
  <c r="B96" i="8"/>
  <c r="E95" i="8"/>
  <c r="E99" i="8"/>
  <c r="E100" i="8"/>
  <c r="D95" i="8"/>
  <c r="D96" i="8"/>
  <c r="D97" i="8"/>
  <c r="D98" i="8"/>
  <c r="D99" i="8"/>
  <c r="D100" i="8"/>
  <c r="D101" i="8"/>
  <c r="C95" i="8"/>
  <c r="C96" i="8"/>
  <c r="E96" i="8" s="1"/>
  <c r="C99" i="8"/>
  <c r="C100" i="8"/>
  <c r="B94" i="8"/>
  <c r="B93" i="8"/>
  <c r="C93" i="8" s="1"/>
  <c r="E93" i="8" s="1"/>
  <c r="B92" i="8"/>
  <c r="B91" i="8"/>
  <c r="E90" i="8"/>
  <c r="E94" i="8"/>
  <c r="D90" i="8"/>
  <c r="D91" i="8"/>
  <c r="D92" i="8"/>
  <c r="D93" i="8"/>
  <c r="D94" i="8"/>
  <c r="C90" i="8"/>
  <c r="C91" i="8"/>
  <c r="E91" i="8" s="1"/>
  <c r="C92" i="8"/>
  <c r="E92" i="8" s="1"/>
  <c r="C94" i="8"/>
  <c r="B90" i="8"/>
  <c r="B89" i="8"/>
  <c r="C89" i="8" s="1"/>
  <c r="B88" i="8"/>
  <c r="B87" i="8"/>
  <c r="C87" i="8" s="1"/>
  <c r="D86" i="8"/>
  <c r="E86" i="8" s="1"/>
  <c r="D87" i="8"/>
  <c r="D88" i="8"/>
  <c r="D89" i="8"/>
  <c r="C86" i="8"/>
  <c r="C88" i="8"/>
  <c r="B86" i="8"/>
  <c r="B85" i="8"/>
  <c r="B84" i="8"/>
  <c r="B83" i="8"/>
  <c r="C83" i="8" s="1"/>
  <c r="B82" i="8"/>
  <c r="D82" i="8"/>
  <c r="D83" i="8"/>
  <c r="D84" i="8"/>
  <c r="D85" i="8"/>
  <c r="C82" i="8"/>
  <c r="C84" i="8"/>
  <c r="C85" i="8"/>
  <c r="B81" i="8"/>
  <c r="B80" i="8"/>
  <c r="C80" i="8" s="1"/>
  <c r="E80" i="8" s="1"/>
  <c r="B79" i="8"/>
  <c r="B78" i="8"/>
  <c r="D78" i="8"/>
  <c r="D79" i="8"/>
  <c r="D80" i="8"/>
  <c r="D81" i="8"/>
  <c r="C78" i="8"/>
  <c r="E78" i="8" s="1"/>
  <c r="C79" i="8"/>
  <c r="E79" i="8" s="1"/>
  <c r="C81" i="8"/>
  <c r="E81" i="8" s="1"/>
  <c r="B77" i="8"/>
  <c r="B76" i="8"/>
  <c r="E75" i="8"/>
  <c r="D75" i="8"/>
  <c r="D76" i="8"/>
  <c r="D77" i="8"/>
  <c r="B75" i="8"/>
  <c r="C75" i="8"/>
  <c r="C76" i="8"/>
  <c r="E76" i="8" s="1"/>
  <c r="C77" i="8"/>
  <c r="E77" i="8" s="1"/>
  <c r="B74" i="8"/>
  <c r="C74" i="8" s="1"/>
  <c r="E74" i="8" s="1"/>
  <c r="B73" i="8"/>
  <c r="E72" i="8"/>
  <c r="D72" i="8"/>
  <c r="D73" i="8"/>
  <c r="D74" i="8"/>
  <c r="C72" i="8"/>
  <c r="C73" i="8"/>
  <c r="E73" i="8" s="1"/>
  <c r="B72" i="8"/>
  <c r="B71" i="8"/>
  <c r="B70" i="8"/>
  <c r="C70" i="8" s="1"/>
  <c r="E70" i="8" s="1"/>
  <c r="B69" i="8"/>
  <c r="E68" i="8"/>
  <c r="E69" i="8"/>
  <c r="D68" i="8"/>
  <c r="D69" i="8"/>
  <c r="D70" i="8"/>
  <c r="D71" i="8"/>
  <c r="C68" i="8"/>
  <c r="C69" i="8"/>
  <c r="C71" i="8"/>
  <c r="E71" i="8" s="1"/>
  <c r="B68" i="8"/>
  <c r="B67" i="8"/>
  <c r="B66" i="8"/>
  <c r="B65" i="8"/>
  <c r="C65" i="8" s="1"/>
  <c r="E65" i="8" s="1"/>
  <c r="B64" i="8"/>
  <c r="C64" i="8" s="1"/>
  <c r="E64" i="8" s="1"/>
  <c r="E63" i="8"/>
  <c r="C66" i="8"/>
  <c r="E66" i="8" s="1"/>
  <c r="C67" i="8"/>
  <c r="E67" i="8" s="1"/>
  <c r="C63" i="8"/>
  <c r="B95" i="8"/>
  <c r="B63" i="8"/>
  <c r="D64" i="8"/>
  <c r="D65" i="8"/>
  <c r="D66" i="8"/>
  <c r="D67" i="8"/>
  <c r="D63" i="8"/>
  <c r="U32" i="8"/>
  <c r="U31" i="8"/>
  <c r="U29" i="8"/>
  <c r="U28" i="8"/>
  <c r="U24" i="8"/>
  <c r="U23" i="8"/>
  <c r="U21" i="8"/>
  <c r="U20" i="8"/>
  <c r="U19" i="8"/>
  <c r="U18" i="8"/>
  <c r="U17" i="8"/>
  <c r="U14" i="8"/>
  <c r="U12" i="8"/>
  <c r="U10" i="8"/>
  <c r="U9" i="8"/>
  <c r="U8" i="8"/>
  <c r="U7" i="8"/>
  <c r="U6" i="8"/>
  <c r="U5" i="8"/>
  <c r="U4" i="8"/>
  <c r="R48" i="8"/>
  <c r="R44" i="8"/>
  <c r="R42" i="8"/>
  <c r="R35" i="8"/>
  <c r="R34" i="8"/>
  <c r="R32" i="8"/>
  <c r="R23" i="8"/>
  <c r="R22" i="8"/>
  <c r="R18" i="8"/>
  <c r="R17" i="8"/>
  <c r="R7" i="8"/>
  <c r="U47" i="8"/>
  <c r="U46" i="8"/>
  <c r="U45" i="8"/>
  <c r="U44" i="8"/>
  <c r="W44" i="8" s="1"/>
  <c r="X44" i="8" s="1"/>
  <c r="U43" i="8"/>
  <c r="U42" i="8"/>
  <c r="U40" i="8"/>
  <c r="U39" i="8"/>
  <c r="X38" i="8"/>
  <c r="X41" i="8"/>
  <c r="W38" i="8"/>
  <c r="W39" i="8"/>
  <c r="X39" i="8" s="1"/>
  <c r="W40" i="8"/>
  <c r="X40" i="8" s="1"/>
  <c r="W41" i="8"/>
  <c r="W42" i="8"/>
  <c r="X42" i="8" s="1"/>
  <c r="W43" i="8"/>
  <c r="X43" i="8" s="1"/>
  <c r="W45" i="8"/>
  <c r="X45" i="8" s="1"/>
  <c r="W46" i="8"/>
  <c r="X46" i="8" s="1"/>
  <c r="W47" i="8"/>
  <c r="X47" i="8" s="1"/>
  <c r="U38" i="8"/>
  <c r="U41" i="8"/>
  <c r="X37" i="8"/>
  <c r="W37" i="8"/>
  <c r="V38" i="8"/>
  <c r="V39" i="8"/>
  <c r="V40" i="8"/>
  <c r="V41" i="8"/>
  <c r="V42" i="8"/>
  <c r="V43" i="8"/>
  <c r="V44" i="8"/>
  <c r="V45" i="8"/>
  <c r="V46" i="8"/>
  <c r="V47" i="8"/>
  <c r="V37" i="8"/>
  <c r="U37" i="8"/>
  <c r="W32" i="8"/>
  <c r="W31" i="8"/>
  <c r="W29" i="8"/>
  <c r="W28" i="8"/>
  <c r="W24" i="8"/>
  <c r="W23" i="8"/>
  <c r="W21" i="8"/>
  <c r="W20" i="8"/>
  <c r="W19" i="8"/>
  <c r="W18" i="8"/>
  <c r="W17" i="8"/>
  <c r="W14" i="8"/>
  <c r="W12" i="8"/>
  <c r="W10" i="8"/>
  <c r="W9" i="8"/>
  <c r="W8" i="8"/>
  <c r="W7" i="8"/>
  <c r="W6" i="8"/>
  <c r="W5" i="8"/>
  <c r="W4" i="8"/>
  <c r="C3" i="7"/>
  <c r="B7" i="7"/>
  <c r="E45" i="3"/>
  <c r="H3" i="3"/>
  <c r="B6" i="7"/>
  <c r="B3" i="7"/>
  <c r="AN23" i="2"/>
  <c r="R79" i="2"/>
  <c r="R97" i="2"/>
  <c r="R74" i="2"/>
  <c r="R75" i="2"/>
  <c r="R76" i="2"/>
  <c r="R77" i="2"/>
  <c r="R78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8" i="2"/>
  <c r="R73" i="2"/>
  <c r="E23" i="3"/>
  <c r="E24" i="3"/>
  <c r="E30" i="3"/>
  <c r="E32" i="3"/>
  <c r="E34" i="3"/>
  <c r="E36" i="3"/>
  <c r="E39" i="3"/>
  <c r="E50" i="3"/>
  <c r="E53" i="3"/>
  <c r="E55" i="3"/>
  <c r="E42" i="3"/>
  <c r="E21" i="3"/>
  <c r="E25" i="3"/>
  <c r="E27" i="3"/>
  <c r="E31" i="3"/>
  <c r="H8" i="3"/>
  <c r="G11" i="3"/>
  <c r="G13" i="3"/>
  <c r="F13" i="3"/>
  <c r="E13" i="3"/>
  <c r="D13" i="3"/>
  <c r="F12" i="3"/>
  <c r="E12" i="3"/>
  <c r="D12" i="3"/>
  <c r="F11" i="3"/>
  <c r="E11" i="3"/>
  <c r="D11" i="3"/>
  <c r="F10" i="3"/>
  <c r="E10" i="3"/>
  <c r="D10" i="3"/>
  <c r="F9" i="3"/>
  <c r="E9" i="3"/>
  <c r="D9" i="3"/>
  <c r="G8" i="3"/>
  <c r="F8" i="3"/>
  <c r="E8" i="3"/>
  <c r="D8" i="3"/>
  <c r="C13" i="3"/>
  <c r="C12" i="3"/>
  <c r="C11" i="3"/>
  <c r="C10" i="3"/>
  <c r="C9" i="3"/>
  <c r="C8" i="3"/>
  <c r="G3" i="3"/>
  <c r="G4" i="3"/>
  <c r="D4" i="3"/>
  <c r="F3" i="3"/>
  <c r="E3" i="3"/>
  <c r="D3" i="3"/>
  <c r="F4" i="3"/>
  <c r="E4" i="3"/>
  <c r="C6" i="7" s="1"/>
  <c r="C4" i="3"/>
  <c r="C3" i="3"/>
  <c r="R26" i="2"/>
  <c r="R27" i="2"/>
  <c r="R28" i="2"/>
  <c r="R29" i="2"/>
  <c r="R30" i="2"/>
  <c r="R31" i="2"/>
  <c r="R32" i="2"/>
  <c r="R33" i="2"/>
  <c r="R34" i="2"/>
  <c r="R35" i="2"/>
  <c r="R36" i="2"/>
  <c r="R37" i="2"/>
  <c r="R23" i="2"/>
  <c r="R24" i="2"/>
  <c r="R25" i="2"/>
  <c r="E56" i="3"/>
  <c r="E17" i="3"/>
  <c r="E54" i="3"/>
  <c r="E29" i="3"/>
  <c r="E52" i="3"/>
  <c r="E51" i="3"/>
  <c r="E18" i="3"/>
  <c r="E49" i="3"/>
  <c r="E48" i="3"/>
  <c r="E47" i="3"/>
  <c r="E46" i="3"/>
  <c r="E35" i="3"/>
  <c r="E41" i="3"/>
  <c r="E19" i="3"/>
  <c r="E37" i="3"/>
  <c r="E20" i="3"/>
  <c r="E33" i="3"/>
  <c r="E38" i="3"/>
  <c r="E40" i="3"/>
  <c r="E28" i="3"/>
  <c r="E26" i="3"/>
  <c r="E43" i="3"/>
  <c r="E44" i="3"/>
  <c r="E22" i="3"/>
  <c r="E57" i="3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3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52" i="2"/>
  <c r="BL28" i="9" l="1"/>
  <c r="BL25" i="9"/>
  <c r="U6" i="9"/>
  <c r="BJ37" i="9"/>
  <c r="BB37" i="9"/>
  <c r="U36" i="9" s="1"/>
  <c r="BK37" i="9"/>
  <c r="BK19" i="9"/>
  <c r="BK11" i="9"/>
  <c r="BJ12" i="9"/>
  <c r="BJ27" i="9"/>
  <c r="BJ11" i="9"/>
  <c r="BB15" i="9"/>
  <c r="BJ15" i="9" s="1"/>
  <c r="U30" i="9"/>
  <c r="BL40" i="9"/>
  <c r="BB29" i="9"/>
  <c r="U28" i="9" s="1"/>
  <c r="BK35" i="9"/>
  <c r="U34" i="9"/>
  <c r="BB5" i="9"/>
  <c r="U4" i="9" s="1"/>
  <c r="BL26" i="9"/>
  <c r="BK26" i="9"/>
  <c r="BK18" i="9"/>
  <c r="BL18" i="9"/>
  <c r="BL20" i="9"/>
  <c r="BK32" i="9"/>
  <c r="BB10" i="9"/>
  <c r="U9" i="9" s="1"/>
  <c r="BJ18" i="9"/>
  <c r="U14" i="9"/>
  <c r="BL14" i="9"/>
  <c r="U29" i="9"/>
  <c r="BJ21" i="9"/>
  <c r="BB21" i="9"/>
  <c r="U20" i="9" s="1"/>
  <c r="BK21" i="9"/>
  <c r="U25" i="9"/>
  <c r="U17" i="9"/>
  <c r="BJ25" i="9"/>
  <c r="BJ9" i="9"/>
  <c r="U38" i="9"/>
  <c r="U13" i="9"/>
  <c r="U24" i="9"/>
  <c r="U8" i="9"/>
  <c r="BJ32" i="9"/>
  <c r="BJ16" i="9"/>
  <c r="BB34" i="9"/>
  <c r="BJ34" i="9" s="1"/>
  <c r="BJ10" i="9"/>
  <c r="BL32" i="9"/>
  <c r="BB13" i="9"/>
  <c r="U12" i="9" s="1"/>
  <c r="BJ28" i="9"/>
  <c r="U31" i="9"/>
  <c r="U15" i="9"/>
  <c r="BK39" i="9"/>
  <c r="BL39" i="9"/>
  <c r="BK31" i="9"/>
  <c r="BK23" i="9"/>
  <c r="BL23" i="9"/>
  <c r="BK15" i="9"/>
  <c r="BL15" i="9"/>
  <c r="BK7" i="9"/>
  <c r="BL7" i="9"/>
  <c r="BL35" i="9"/>
  <c r="BK3" i="9"/>
  <c r="BB31" i="9"/>
  <c r="BJ31" i="9" s="1"/>
  <c r="BJ39" i="9"/>
  <c r="BJ7" i="9"/>
  <c r="BB38" i="9"/>
  <c r="BK38" i="9" s="1"/>
  <c r="BB30" i="9"/>
  <c r="BK30" i="9" s="1"/>
  <c r="BB22" i="9"/>
  <c r="BK22" i="9" s="1"/>
  <c r="BB14" i="9"/>
  <c r="BK14" i="9" s="1"/>
  <c r="BB6" i="9"/>
  <c r="BJ6" i="9" s="1"/>
  <c r="BJ30" i="9"/>
  <c r="BJ22" i="9"/>
  <c r="BJ14" i="9"/>
  <c r="BB36" i="9"/>
  <c r="BJ36" i="9" s="1"/>
  <c r="BB28" i="9"/>
  <c r="BB20" i="9"/>
  <c r="BJ20" i="9" s="1"/>
  <c r="BB12" i="9"/>
  <c r="BB4" i="9"/>
  <c r="BL4" i="9" s="1"/>
  <c r="BL17" i="9"/>
  <c r="BL9" i="9"/>
  <c r="BB35" i="9"/>
  <c r="BJ35" i="9" s="1"/>
  <c r="BB27" i="9"/>
  <c r="BL27" i="9" s="1"/>
  <c r="BB19" i="9"/>
  <c r="BL19" i="9" s="1"/>
  <c r="BB11" i="9"/>
  <c r="U10" i="9" s="1"/>
  <c r="BL16" i="9"/>
  <c r="BB33" i="9"/>
  <c r="BK33" i="9" s="1"/>
  <c r="BB25" i="9"/>
  <c r="BK25" i="9" s="1"/>
  <c r="BB17" i="9"/>
  <c r="BK17" i="9" s="1"/>
  <c r="BB9" i="9"/>
  <c r="BK9" i="9" s="1"/>
  <c r="BB40" i="9"/>
  <c r="BJ40" i="9" s="1"/>
  <c r="BB32" i="9"/>
  <c r="BB24" i="9"/>
  <c r="BK24" i="9" s="1"/>
  <c r="BB16" i="9"/>
  <c r="BK16" i="9" s="1"/>
  <c r="BB8" i="9"/>
  <c r="BK8" i="9" s="1"/>
  <c r="E89" i="8"/>
  <c r="E88" i="8"/>
  <c r="E87" i="8"/>
  <c r="E85" i="8"/>
  <c r="E84" i="8"/>
  <c r="E83" i="8"/>
  <c r="E82" i="8"/>
  <c r="T93" i="2"/>
  <c r="V5" i="1"/>
  <c r="U5" i="1"/>
  <c r="T5" i="1"/>
  <c r="S5" i="1"/>
  <c r="R5" i="1"/>
  <c r="BM16" i="9" l="1"/>
  <c r="S15" i="9"/>
  <c r="BM8" i="9"/>
  <c r="S23" i="9"/>
  <c r="BL38" i="9"/>
  <c r="S37" i="9" s="1"/>
  <c r="BM26" i="9"/>
  <c r="S25" i="9"/>
  <c r="U37" i="9"/>
  <c r="BL8" i="9"/>
  <c r="S7" i="9" s="1"/>
  <c r="BK6" i="9"/>
  <c r="BK13" i="9"/>
  <c r="BJ5" i="9"/>
  <c r="U16" i="9"/>
  <c r="BK40" i="9"/>
  <c r="BL22" i="9"/>
  <c r="S21" i="9" s="1"/>
  <c r="BL6" i="9"/>
  <c r="BM32" i="9"/>
  <c r="S31" i="9"/>
  <c r="S6" i="9"/>
  <c r="BM7" i="9"/>
  <c r="BM35" i="9"/>
  <c r="S34" i="9"/>
  <c r="BK12" i="9"/>
  <c r="U11" i="9"/>
  <c r="BL12" i="9"/>
  <c r="BJ38" i="9"/>
  <c r="U7" i="9"/>
  <c r="BJ13" i="9"/>
  <c r="BJ8" i="9"/>
  <c r="U32" i="9"/>
  <c r="BJ17" i="9"/>
  <c r="U26" i="9"/>
  <c r="BL36" i="9"/>
  <c r="BL34" i="9"/>
  <c r="BK29" i="9"/>
  <c r="BK27" i="9"/>
  <c r="S30" i="9"/>
  <c r="BM9" i="9"/>
  <c r="S8" i="9"/>
  <c r="BK28" i="9"/>
  <c r="U27" i="9"/>
  <c r="S13" i="9"/>
  <c r="BM14" i="9"/>
  <c r="BL11" i="9"/>
  <c r="BM11" i="9" s="1"/>
  <c r="U23" i="9"/>
  <c r="U5" i="9"/>
  <c r="BJ24" i="9"/>
  <c r="BJ33" i="9"/>
  <c r="BK10" i="9"/>
  <c r="BK5" i="9"/>
  <c r="BJ29" i="9"/>
  <c r="BJ19" i="9"/>
  <c r="U3" i="9"/>
  <c r="BK4" i="9"/>
  <c r="S38" i="9"/>
  <c r="BM39" i="9"/>
  <c r="U33" i="9"/>
  <c r="BK34" i="9"/>
  <c r="BM19" i="9"/>
  <c r="S18" i="9"/>
  <c r="BK20" i="9"/>
  <c r="U19" i="9"/>
  <c r="BM3" i="9"/>
  <c r="S2" i="9"/>
  <c r="S14" i="9"/>
  <c r="BM15" i="9"/>
  <c r="BL13" i="9"/>
  <c r="U18" i="9"/>
  <c r="BM21" i="9"/>
  <c r="BL10" i="9"/>
  <c r="BM17" i="9"/>
  <c r="S16" i="9"/>
  <c r="BK36" i="9"/>
  <c r="U35" i="9"/>
  <c r="S22" i="9"/>
  <c r="BM23" i="9"/>
  <c r="BJ4" i="9"/>
  <c r="BL5" i="9"/>
  <c r="BL29" i="9"/>
  <c r="BM25" i="9"/>
  <c r="S24" i="9"/>
  <c r="S29" i="9"/>
  <c r="BM30" i="9"/>
  <c r="BL31" i="9"/>
  <c r="BM31" i="9" s="1"/>
  <c r="U39" i="9"/>
  <c r="BL30" i="9"/>
  <c r="BL24" i="9"/>
  <c r="BM24" i="9" s="1"/>
  <c r="BL21" i="9"/>
  <c r="S20" i="9" s="1"/>
  <c r="BM18" i="9"/>
  <c r="S17" i="9"/>
  <c r="U21" i="9"/>
  <c r="BL37" i="9"/>
  <c r="S36" i="9" s="1"/>
  <c r="BL33" i="9"/>
  <c r="BM33" i="9" s="1"/>
  <c r="BM36" i="9" l="1"/>
  <c r="S35" i="9"/>
  <c r="BM34" i="9"/>
  <c r="S33" i="9"/>
  <c r="BM27" i="9"/>
  <c r="S26" i="9"/>
  <c r="BM40" i="9"/>
  <c r="S39" i="9"/>
  <c r="S4" i="9"/>
  <c r="BM5" i="9"/>
  <c r="S28" i="9"/>
  <c r="BM29" i="9"/>
  <c r="BM10" i="9"/>
  <c r="S9" i="9"/>
  <c r="BM38" i="9"/>
  <c r="S3" i="9"/>
  <c r="BM4" i="9"/>
  <c r="BM28" i="9"/>
  <c r="S27" i="9"/>
  <c r="S12" i="9"/>
  <c r="BM13" i="9"/>
  <c r="BM22" i="9"/>
  <c r="BM20" i="9"/>
  <c r="S19" i="9"/>
  <c r="S5" i="9"/>
  <c r="BM6" i="9"/>
  <c r="BM37" i="9"/>
  <c r="S32" i="9"/>
  <c r="BM12" i="9"/>
  <c r="S11" i="9"/>
  <c r="S10" i="9"/>
  <c r="X3" i="1"/>
  <c r="X3" i="1" a="1"/>
  <c r="Q2" i="1"/>
  <c r="Q2" i="1" a="1"/>
  <c r="W5" i="1"/>
  <c r="W5" i="1" a="1"/>
  <c r="Q3" i="1"/>
  <c r="Q3" i="1" a="1"/>
  <c r="Y3" i="1"/>
  <c r="Y3" i="1" a="1"/>
  <c r="Y5" i="1"/>
  <c r="Y5" i="1" a="1"/>
  <c r="P2" i="1"/>
  <c r="P2" i="1" a="1"/>
  <c r="Z5" i="1"/>
  <c r="Z5" i="1" a="1"/>
  <c r="W2" i="1"/>
  <c r="W2" i="1" a="1"/>
  <c r="O3" i="1"/>
  <c r="O3" i="1" a="1"/>
  <c r="P3" i="1"/>
  <c r="P3" i="1" a="1"/>
  <c r="Y2" i="1"/>
  <c r="Y2" i="1" a="1"/>
  <c r="L3" i="1"/>
  <c r="L3" i="1" a="1"/>
  <c r="L2" i="1"/>
  <c r="L2" i="1" a="1"/>
  <c r="M3" i="1"/>
  <c r="M3" i="1" a="1"/>
  <c r="N3" i="1"/>
  <c r="N3" i="1" a="1"/>
  <c r="AA5" i="1"/>
  <c r="AA5" i="1" a="1"/>
  <c r="O2" i="1"/>
  <c r="O2" i="1" a="1"/>
  <c r="Z2" i="1"/>
  <c r="Z2" i="1" a="1"/>
  <c r="Z3" i="1"/>
  <c r="Z3" i="1" a="1"/>
  <c r="W3" i="1"/>
  <c r="W3" i="1" a="1"/>
  <c r="N2" i="1"/>
  <c r="N2" i="1" a="1"/>
  <c r="X5" i="1"/>
  <c r="X5" i="1" a="1"/>
  <c r="M2" i="1"/>
  <c r="M2" i="1" a="1"/>
  <c r="AA2" i="1"/>
  <c r="AA2" i="1" a="1"/>
  <c r="X2" i="1"/>
  <c r="X2" i="1" a="1"/>
  <c r="AA3" i="1"/>
  <c r="AA3" i="1" a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<sst xmlns="http://schemas.openxmlformats.org/spreadsheetml/2006/main" count="2957" uniqueCount="464">
  <si>
    <t>Year</t>
  </si>
  <si>
    <t>Rnd</t>
  </si>
  <si>
    <t>OvPck</t>
  </si>
  <si>
    <t>FrRnd</t>
  </si>
  <si>
    <t>RdPck</t>
  </si>
  <si>
    <t>Team</t>
  </si>
  <si>
    <t>Signed</t>
  </si>
  <si>
    <t>Bonus</t>
  </si>
  <si>
    <t>Player Name</t>
  </si>
  <si>
    <t>Draft Pos</t>
  </si>
  <si>
    <t>Position Played</t>
  </si>
  <si>
    <t>WAR</t>
  </si>
  <si>
    <t>Games (Hitters) - MLB</t>
  </si>
  <si>
    <t xml:space="preserve">AB - MLB </t>
  </si>
  <si>
    <t>HR - MLB</t>
  </si>
  <si>
    <t>BA - MLB</t>
  </si>
  <si>
    <t>OPS - MLB</t>
  </si>
  <si>
    <t>Games (Hitters) - Minors</t>
  </si>
  <si>
    <t>AB - Minors</t>
  </si>
  <si>
    <t>HR - Minors</t>
  </si>
  <si>
    <t>BA - Minors</t>
  </si>
  <si>
    <t>OPS - Minors</t>
  </si>
  <si>
    <t>Games (Pitchers) - MLB</t>
  </si>
  <si>
    <t>W - MLB</t>
  </si>
  <si>
    <t>L - MLB</t>
  </si>
  <si>
    <t>ERA - MLB</t>
  </si>
  <si>
    <t>WHIP - MLB</t>
  </si>
  <si>
    <t>Games (Pitchers) - Minors</t>
  </si>
  <si>
    <t>W - Minors</t>
  </si>
  <si>
    <t>L - Minors</t>
  </si>
  <si>
    <t>ERA - Minors</t>
  </si>
  <si>
    <t>WHIP - Minors</t>
  </si>
  <si>
    <t>All-Star Appearances</t>
  </si>
  <si>
    <t>Type</t>
  </si>
  <si>
    <t>Drafted Out of</t>
  </si>
  <si>
    <t>Astros</t>
  </si>
  <si>
    <t>N</t>
  </si>
  <si>
    <t>Brady Aiken (minors)</t>
  </si>
  <si>
    <t>LHP</t>
  </si>
  <si>
    <t>Pitcher</t>
  </si>
  <si>
    <t>HS</t>
  </si>
  <si>
    <t>Cathedral Catholic HS (San Diego, CA)</t>
  </si>
  <si>
    <t>Marlins</t>
  </si>
  <si>
    <t>Y</t>
  </si>
  <si>
    <t>Tyler Kolek (minors)</t>
  </si>
  <si>
    <t>RHP</t>
  </si>
  <si>
    <t>Shepherd HS (Shepherd, TX)</t>
  </si>
  <si>
    <t>White Sox</t>
  </si>
  <si>
    <t>Carlos Rodon (minors)</t>
  </si>
  <si>
    <t>4Yr</t>
  </si>
  <si>
    <t>North Carolina State University (Raleigh, NC)</t>
  </si>
  <si>
    <t>Cubs</t>
  </si>
  <si>
    <t>Kyle Schwarber (minors)</t>
  </si>
  <si>
    <t>C</t>
  </si>
  <si>
    <t>Position Player</t>
  </si>
  <si>
    <t>Indiana University Bloomington (Bloomington, IN)</t>
  </si>
  <si>
    <t>Twins</t>
  </si>
  <si>
    <t>Nick Gordon (minors)</t>
  </si>
  <si>
    <t>SS</t>
  </si>
  <si>
    <t>Olympia HS (Orlando, FL)</t>
  </si>
  <si>
    <t>Mariners</t>
  </si>
  <si>
    <t>Alex Jackson (minors)</t>
  </si>
  <si>
    <t>OF</t>
  </si>
  <si>
    <t>Rancho Bernardo HS (San Diego, CA)</t>
  </si>
  <si>
    <t>Phillies</t>
  </si>
  <si>
    <t>Aaron Nola (minors)</t>
  </si>
  <si>
    <t>Louisiana State University (Baton Rouge, LA)</t>
  </si>
  <si>
    <t>Rockies</t>
  </si>
  <si>
    <t>Kyle Freeland (minors)</t>
  </si>
  <si>
    <t>University of Evansville (Evansville, IN)</t>
  </si>
  <si>
    <t>Blue Jays</t>
  </si>
  <si>
    <t>Jeff Hoffman (minors)</t>
  </si>
  <si>
    <t>East Carolina University (Greenville, NC)</t>
  </si>
  <si>
    <t>Mets</t>
  </si>
  <si>
    <t>Michael Conforto (minors)</t>
  </si>
  <si>
    <t>Oregon State University (Corvallis, OR)</t>
  </si>
  <si>
    <t>Max Pentecost (minors)</t>
  </si>
  <si>
    <t>Kennesaw State University (Kennesaw, GA)</t>
  </si>
  <si>
    <t>Brewers</t>
  </si>
  <si>
    <t>Kodi Medeiros (minors)</t>
  </si>
  <si>
    <t>Waiakea HS (Waiakea, HI)</t>
  </si>
  <si>
    <t>Padres</t>
  </si>
  <si>
    <t>Trea Turner (minors)</t>
  </si>
  <si>
    <t>Giants</t>
  </si>
  <si>
    <t>Tyler Beede (minors)</t>
  </si>
  <si>
    <t>Vanderbilt University (Nashville, TN)</t>
  </si>
  <si>
    <t>Angels</t>
  </si>
  <si>
    <t>Sean Newcomb (minors)</t>
  </si>
  <si>
    <t>University of Hartford (West Hartford, CT)</t>
  </si>
  <si>
    <t>Diamondbacks</t>
  </si>
  <si>
    <t>Touki Toussaint (minors)</t>
  </si>
  <si>
    <t>Coral Springs Christian Academy (Coral Springs, FL)</t>
  </si>
  <si>
    <t>Royals</t>
  </si>
  <si>
    <t>Brandon Finnegan (minors)</t>
  </si>
  <si>
    <t>Texas Christian University (Fort Worth, TX)</t>
  </si>
  <si>
    <t>Nationals</t>
  </si>
  <si>
    <t>Erick Fedde (minors)</t>
  </si>
  <si>
    <t>University of Nevada, Las Vegas (Paradise, NV)</t>
  </si>
  <si>
    <t>Reds</t>
  </si>
  <si>
    <t>Nick Howard (minors)</t>
  </si>
  <si>
    <t>University of Virginia (Charlottesville, VA)</t>
  </si>
  <si>
    <t>Rays</t>
  </si>
  <si>
    <t>Casey Gillaspie (minors)</t>
  </si>
  <si>
    <t>1B</t>
  </si>
  <si>
    <t>Wichita State University (Wichita, KS)</t>
  </si>
  <si>
    <t>Indians</t>
  </si>
  <si>
    <t>Bradley Zimmer (minors)</t>
  </si>
  <si>
    <t>University of San Francisco (San Francisco, CA)</t>
  </si>
  <si>
    <t>Dodgers</t>
  </si>
  <si>
    <t>Grant Holmes (minors)</t>
  </si>
  <si>
    <t>Conway HS (Conway, SC)</t>
  </si>
  <si>
    <t>Tigers</t>
  </si>
  <si>
    <t>Derek Hill (minors)</t>
  </si>
  <si>
    <t>Elk Grove HS (Elk Grove, CA)</t>
  </si>
  <si>
    <t>Pirates</t>
  </si>
  <si>
    <t>Cole Tucker (minors)</t>
  </si>
  <si>
    <t>Mountain Pointe HS (Phoenix, AZ)</t>
  </si>
  <si>
    <t>Athletics</t>
  </si>
  <si>
    <t>Matt Chapman (minors)</t>
  </si>
  <si>
    <t>3B</t>
  </si>
  <si>
    <t>California State University, Fullerton (Fullerton, CA)</t>
  </si>
  <si>
    <t>Red Sox</t>
  </si>
  <si>
    <t>Michael Chavis (minors)</t>
  </si>
  <si>
    <t>Sprayberry HS (Marietta, GA)</t>
  </si>
  <si>
    <t>Cardinals</t>
  </si>
  <si>
    <t>Luke Weaver (minors)</t>
  </si>
  <si>
    <t>Florida State University (Tallahassee, FL)</t>
  </si>
  <si>
    <t>Foster Griffin (minors)</t>
  </si>
  <si>
    <t>The First Academy (Orlando, FL)</t>
  </si>
  <si>
    <t>Alex Blandino (minors)</t>
  </si>
  <si>
    <t>Stanford University (Palo Alto, CA)</t>
  </si>
  <si>
    <t>Rangers</t>
  </si>
  <si>
    <t>Luis Ortiz (minors)</t>
  </si>
  <si>
    <t>Sanger HS (Sanger, CA)</t>
  </si>
  <si>
    <t>Justus Sheffield (minors)</t>
  </si>
  <si>
    <t>Tullahoma HS (Tullahoma, TN)</t>
  </si>
  <si>
    <t>Braves</t>
  </si>
  <si>
    <t>Braxton Davidson (minors)</t>
  </si>
  <si>
    <t>T. C. Roberson HS (Asheville, NC)</t>
  </si>
  <si>
    <t>Michael Kopech (minors)</t>
  </si>
  <si>
    <t>Mount Pleasant HS (Mount Pleasant, TX)</t>
  </si>
  <si>
    <t>Jack Flaherty (minors)</t>
  </si>
  <si>
    <t>Harvard-Westlake HS (Los Angeles, CA)</t>
  </si>
  <si>
    <t>Forrest Wall (minors)</t>
  </si>
  <si>
    <t>2B</t>
  </si>
  <si>
    <t>Orangewood Christian HS (Maitland, FL)</t>
  </si>
  <si>
    <t>Blake Anderson (minors)</t>
  </si>
  <si>
    <t>West Lauderdale HS (Collinsville, MS)</t>
  </si>
  <si>
    <t>Derek Fisher (minors)</t>
  </si>
  <si>
    <t>Mike Papi (minors)</t>
  </si>
  <si>
    <t>Connor Joe (minors)</t>
  </si>
  <si>
    <t>University of San Diego (San Diego, CA)</t>
  </si>
  <si>
    <t>Chase Vallot (minors)</t>
  </si>
  <si>
    <t>St. Thomas More Catholic HS (Lafayette, LA)</t>
  </si>
  <si>
    <t>Jake Gatewood (minors)</t>
  </si>
  <si>
    <t>Clovis HS (Clovis, CA)</t>
  </si>
  <si>
    <t>Orioles</t>
  </si>
  <si>
    <t>Adley Rutschman (minors)</t>
  </si>
  <si>
    <t>Bobby Witt Jr. (minors)</t>
  </si>
  <si>
    <t>Andrew Vaughn (minors)</t>
  </si>
  <si>
    <t>JJ Bleday (minors)</t>
  </si>
  <si>
    <t>Riley Greene (minors)</t>
  </si>
  <si>
    <t>CJ Abrams (minors)</t>
  </si>
  <si>
    <t>Nick Lodolo (minors)</t>
  </si>
  <si>
    <t>Josh Jung (minors)</t>
  </si>
  <si>
    <t>Shea Langeliers (minors)</t>
  </si>
  <si>
    <t>Hunter Bishop (minors)</t>
  </si>
  <si>
    <t>Alek Manoah (minors)</t>
  </si>
  <si>
    <t>Brett Baty (minors)</t>
  </si>
  <si>
    <t>Keoni Cavaco (minors)</t>
  </si>
  <si>
    <t>Bryson Stott (minors)</t>
  </si>
  <si>
    <t>Will Wilson (minors)</t>
  </si>
  <si>
    <t>Corbin Carroll (minors)</t>
  </si>
  <si>
    <t>CF</t>
  </si>
  <si>
    <t>Jackson Rutledge (minors)</t>
  </si>
  <si>
    <t>Quinn Priester (minors)</t>
  </si>
  <si>
    <t>Zack Thompson (minors)</t>
  </si>
  <si>
    <t>George Kirby (minors)</t>
  </si>
  <si>
    <t>Braden Shewmake (minors)</t>
  </si>
  <si>
    <t>Greg Jones (minors)</t>
  </si>
  <si>
    <t>Michael Toglia (minors)</t>
  </si>
  <si>
    <t>Daniel Espino (minors)</t>
  </si>
  <si>
    <t>Kody Hoese (minors)</t>
  </si>
  <si>
    <t>Blake Walston (minors)</t>
  </si>
  <si>
    <t>Ryan Jensen (minors)</t>
  </si>
  <si>
    <t>Ethan Small (minors)</t>
  </si>
  <si>
    <t>Logan Davidson (minors)</t>
  </si>
  <si>
    <t>Yankees</t>
  </si>
  <si>
    <t>Anthony Volpe (minors)</t>
  </si>
  <si>
    <t>Michael Busch (minors)</t>
  </si>
  <si>
    <t>Korey Lee (minors)</t>
  </si>
  <si>
    <t>Brennan Malone (minors)</t>
  </si>
  <si>
    <t>Drey Jameson (minors)</t>
  </si>
  <si>
    <t>Kameron Misner (minors)</t>
  </si>
  <si>
    <t>JJ Goss (minors)</t>
  </si>
  <si>
    <t>Sammy Siani (minors)</t>
  </si>
  <si>
    <t>T.J. Sikkema (minors)</t>
  </si>
  <si>
    <t>Matt Wallner (minors)</t>
  </si>
  <si>
    <t>RF</t>
  </si>
  <si>
    <t>Seth Johnson (minors)</t>
  </si>
  <si>
    <t>Davis Wendzel (minors)</t>
  </si>
  <si>
    <t>First-Round Pitchers</t>
  </si>
  <si>
    <t>First-Round Players</t>
  </si>
  <si>
    <t>Draft Year</t>
  </si>
  <si>
    <t>WAR Success</t>
  </si>
  <si>
    <t>Games Played - MLB</t>
  </si>
  <si>
    <t>First-Round Position Players</t>
  </si>
  <si>
    <t xml:space="preserve">Summary Tables of Pitchers </t>
  </si>
  <si>
    <t>Average War by Position</t>
  </si>
  <si>
    <t>Average of Games (Pitchers) - MLB</t>
  </si>
  <si>
    <t>Average of ERA - MLB</t>
  </si>
  <si>
    <t>Average of WHIP - MLB</t>
  </si>
  <si>
    <t>Average of All-Star Appearances per Position</t>
  </si>
  <si>
    <t xml:space="preserve">Avg War for All Pitchers: </t>
  </si>
  <si>
    <t>Summary Tables of Position Players</t>
  </si>
  <si>
    <t>Average of Games (Hitters) - MLB</t>
  </si>
  <si>
    <t>Average of BA - MLB</t>
  </si>
  <si>
    <t>Average of OPS - MLB</t>
  </si>
  <si>
    <t xml:space="preserve">Avg War For All Position Players: </t>
  </si>
  <si>
    <t>Positions Taken</t>
  </si>
  <si>
    <t>Total Picks</t>
  </si>
  <si>
    <t>Successful Picks*</t>
  </si>
  <si>
    <t>Success Rate</t>
  </si>
  <si>
    <t>2 RHPs</t>
  </si>
  <si>
    <t>RHP, SS</t>
  </si>
  <si>
    <t>LHP, SS</t>
  </si>
  <si>
    <t>SS, OF</t>
  </si>
  <si>
    <t>Sum of WAR</t>
  </si>
  <si>
    <t>Draft Pos W/Total War</t>
  </si>
  <si>
    <t>Pitcher Total</t>
  </si>
  <si>
    <t>Position Player Total</t>
  </si>
  <si>
    <t>Grand Total</t>
  </si>
  <si>
    <t>Sum of Games Played - MLB</t>
  </si>
  <si>
    <t>Draft Pos w/Amount of Games</t>
  </si>
  <si>
    <t>Sum of All-Star Appearances</t>
  </si>
  <si>
    <t>Draft Pos W/Total All-Star Nods</t>
  </si>
  <si>
    <t>Total Count of Players and Count of Successful Players By War</t>
  </si>
  <si>
    <t>Pitcher Sum of Players</t>
  </si>
  <si>
    <t>Pitcher Sum of Successful Player by WAR</t>
  </si>
  <si>
    <t>Position Player Sum of Players</t>
  </si>
  <si>
    <t>Position Player Sum of Successful Player by WAR</t>
  </si>
  <si>
    <t>Total Sum of Players</t>
  </si>
  <si>
    <t>Total Sum of Successful Player by WAR</t>
  </si>
  <si>
    <t>Sum of Players</t>
  </si>
  <si>
    <t>Sum of Successful Player by WAR</t>
  </si>
  <si>
    <t>Average of WAR</t>
  </si>
  <si>
    <t>Column Labels</t>
  </si>
  <si>
    <t>Row Labels</t>
  </si>
  <si>
    <t>ERA</t>
  </si>
  <si>
    <t>WHIP</t>
  </si>
  <si>
    <t>Summary Tables of Successful Picks per Team (1st round only in 2014 and 2019)</t>
  </si>
  <si>
    <t>SS, LHP</t>
  </si>
  <si>
    <t>LHP, 1B</t>
  </si>
  <si>
    <t>3 RHPs</t>
  </si>
  <si>
    <t>LHP, 2B, 1B</t>
  </si>
  <si>
    <t>LHP, OF, C</t>
  </si>
  <si>
    <t>C, 2 RHPs</t>
  </si>
  <si>
    <t>2 LHPs, SS</t>
  </si>
  <si>
    <t>3 RHPs, CF, LHP</t>
  </si>
  <si>
    <t>RHP, 2B, 3B</t>
  </si>
  <si>
    <t>RHP, OF</t>
  </si>
  <si>
    <t>LHP, OF, RHP</t>
  </si>
  <si>
    <t>OF, RHP</t>
  </si>
  <si>
    <t>RHP, C, OF</t>
  </si>
  <si>
    <t>RHP, 2 3Bs</t>
  </si>
  <si>
    <t>RHP, SS, LHP</t>
  </si>
  <si>
    <t>2 LHPs, C, SS</t>
  </si>
  <si>
    <t>SS, 3B</t>
  </si>
  <si>
    <t>OF, C, SS</t>
  </si>
  <si>
    <t>C, RHP</t>
  </si>
  <si>
    <t>OF, 3B</t>
  </si>
  <si>
    <t xml:space="preserve">Orioles </t>
  </si>
  <si>
    <t>2 SSs</t>
  </si>
  <si>
    <t>SS, 2 Ofs</t>
  </si>
  <si>
    <t>1B, SS, 2 RHPs</t>
  </si>
  <si>
    <t>2 Ofs</t>
  </si>
  <si>
    <t>2 SSs, OF</t>
  </si>
  <si>
    <t xml:space="preserve">* - Successful Picks have a career WAR &gt; 4 for 2014 Picks, WAR &gt; 3 for 2019 picks </t>
  </si>
  <si>
    <t>Avg of War by Position (2014 &amp; 2019)</t>
  </si>
  <si>
    <t>Average of Every Position</t>
  </si>
  <si>
    <t>Success Count</t>
  </si>
  <si>
    <t>Position Players</t>
  </si>
  <si>
    <t>Draft Position Played</t>
  </si>
  <si>
    <t>Amount of Draft Picks taken on Position</t>
  </si>
  <si>
    <t>count: 47</t>
  </si>
  <si>
    <t>Drafted Pitchers</t>
  </si>
  <si>
    <t>First-Round Pitchers: Minor League Stats</t>
  </si>
  <si>
    <t>First-Round Position Players: Minor League Stats</t>
  </si>
  <si>
    <t>MLB - WAR</t>
  </si>
  <si>
    <t>Minors - WAR</t>
  </si>
  <si>
    <t>Analysis of Successful Picks per Position (1st round only in 2014 and 2019)</t>
  </si>
  <si>
    <t>Category</t>
  </si>
  <si>
    <t>Pitchers</t>
  </si>
  <si>
    <t>Hitters</t>
  </si>
  <si>
    <t>Total Drafted</t>
  </si>
  <si>
    <t>Average WAR</t>
  </si>
  <si>
    <t>Top Draft Positions</t>
  </si>
  <si>
    <t>15 (0.32/player)</t>
  </si>
  <si>
    <t xml:space="preserve">Average BA (hitters) / ERA (pitchers) </t>
  </si>
  <si>
    <t>C, 3B</t>
  </si>
  <si>
    <t>6 (0.17/player)</t>
  </si>
  <si>
    <t>Dylan Crews</t>
  </si>
  <si>
    <t>Walker Jenkins</t>
  </si>
  <si>
    <t>Roman Anthony</t>
  </si>
  <si>
    <t xml:space="preserve">Rank (Rk) </t>
  </si>
  <si>
    <t>Carson Williams</t>
  </si>
  <si>
    <t>Max Clark</t>
  </si>
  <si>
    <t>Marcelo Mayer</t>
  </si>
  <si>
    <t>Coby Mayo</t>
  </si>
  <si>
    <t>Jordan Lawler</t>
  </si>
  <si>
    <t>Kristian Cambell</t>
  </si>
  <si>
    <t>Charlie Condon</t>
  </si>
  <si>
    <t>Travis Bazzana</t>
  </si>
  <si>
    <t>Samuel Basallo</t>
  </si>
  <si>
    <t>2024 Top 50 Prospects: Position Players (mlb.com)</t>
  </si>
  <si>
    <t xml:space="preserve">2024 Top 50 Prospects: Pitchers (mlb.com) </t>
  </si>
  <si>
    <t>Guardians</t>
  </si>
  <si>
    <t>Jasson Dominguez</t>
  </si>
  <si>
    <t>Jac Caglianone</t>
  </si>
  <si>
    <t>JJ Wetherholt</t>
  </si>
  <si>
    <t>Ethan Salas</t>
  </si>
  <si>
    <t>New York Yankees</t>
  </si>
  <si>
    <t xml:space="preserve">Cardinals </t>
  </si>
  <si>
    <t>Sebastion Walcott</t>
  </si>
  <si>
    <t>Jacob Wilson</t>
  </si>
  <si>
    <t>Kyle Teel</t>
  </si>
  <si>
    <t>Aidan Miller</t>
  </si>
  <si>
    <t>Colt Emerson</t>
  </si>
  <si>
    <t>Leodalis De Vries</t>
  </si>
  <si>
    <t>Emmanuel Rodriguez</t>
  </si>
  <si>
    <t>Kevin Mcgonigle</t>
  </si>
  <si>
    <t>Matt Shaw</t>
  </si>
  <si>
    <t>A's</t>
  </si>
  <si>
    <t>DH</t>
  </si>
  <si>
    <t>Owen Caissie</t>
  </si>
  <si>
    <t>Bryce Eldridge</t>
  </si>
  <si>
    <t>Xavier Isaac</t>
  </si>
  <si>
    <t>Colson Montgomery</t>
  </si>
  <si>
    <t>Cole Young</t>
  </si>
  <si>
    <t>Dalton Rushing</t>
  </si>
  <si>
    <t>Chase Delauter</t>
  </si>
  <si>
    <t>Moises Ballesteros</t>
  </si>
  <si>
    <t>Nick Kurtz</t>
  </si>
  <si>
    <t>Lazaro Montes</t>
  </si>
  <si>
    <t>Josue De Paula</t>
  </si>
  <si>
    <t>Harry Ford</t>
  </si>
  <si>
    <t>Jackson Jobe</t>
  </si>
  <si>
    <t>Bubba Chandler</t>
  </si>
  <si>
    <t>Noah Schultz</t>
  </si>
  <si>
    <t>Chase Dollander</t>
  </si>
  <si>
    <t>Hagen Smith</t>
  </si>
  <si>
    <t>Rhett Lowder</t>
  </si>
  <si>
    <t>Brandon Sproat</t>
  </si>
  <si>
    <t>Cade Horton</t>
  </si>
  <si>
    <t xml:space="preserve">Thomas White </t>
  </si>
  <si>
    <t xml:space="preserve">2024 Top 50 Prospects w/Minor League WAR  (mlb.com) </t>
  </si>
  <si>
    <t>Innings  - Minors</t>
  </si>
  <si>
    <t>Chase Burns</t>
  </si>
  <si>
    <t>Andrew Painter</t>
  </si>
  <si>
    <t>Philies</t>
  </si>
  <si>
    <t>Jeferson Quero</t>
  </si>
  <si>
    <t>Konnor Griffin</t>
  </si>
  <si>
    <t>SS/OF</t>
  </si>
  <si>
    <t>Minor League - Estimated WAR</t>
  </si>
  <si>
    <t>Teams</t>
  </si>
  <si>
    <t>PF from International League - Baseball America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</si>
  <si>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</si>
  <si>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</si>
  <si>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</si>
  <si>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</si>
  <si>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</si>
  <si>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</si>
  <si>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</si>
  <si>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Guardians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</si>
  <si>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</si>
  <si>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</si>
  <si>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</si>
  <si>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</si>
  <si>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</si>
  <si>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</si>
  <si>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</si>
  <si>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</si>
  <si>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</si>
  <si>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</si>
  <si>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Oakland Athletics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</si>
  <si>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</si>
  <si>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</si>
  <si>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</si>
  <si>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</si>
  <si>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</si>
  <si>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</si>
  <si>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</si>
  <si>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</si>
  <si>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</si>
  <si>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</si>
  <si>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https://www.baseballamerica.com/stories/minor-league-baseball-park-factors-2023/</t>
  </si>
  <si>
    <t>Calculating Minor League Pitching WAR Based on My Data</t>
  </si>
  <si>
    <t>Adjusted ERA</t>
  </si>
  <si>
    <t>Replacement Level</t>
  </si>
  <si>
    <t>Runs Prevented</t>
  </si>
  <si>
    <t>Calculating Minor League Hitting WAR Based on My Data</t>
  </si>
  <si>
    <t>Hitter</t>
  </si>
  <si>
    <t>Important Info for Hitter WAR</t>
  </si>
  <si>
    <t>Scale = 1.15 in minors</t>
  </si>
  <si>
    <t>Adjusted OPS</t>
  </si>
  <si>
    <t>wRAA</t>
  </si>
  <si>
    <t>Replacement Runs</t>
  </si>
  <si>
    <t>LgERA = 3.749 (FanGraph)</t>
  </si>
  <si>
    <t>League OPS (FanGraph) = 0.735</t>
  </si>
  <si>
    <r>
      <t>Runs per Win</t>
    </r>
    <r>
      <rPr>
        <sz val="12"/>
        <color theme="1"/>
        <rFont val="Aptos Narrow"/>
        <scheme val="minor"/>
      </rPr>
      <t>: Typically 10 runs per win</t>
    </r>
  </si>
  <si>
    <t>Park Factor (PF) for pitchers: using 100 as average, not enough information</t>
  </si>
  <si>
    <t>Park Factor (PF) for hitters: using minor league data from Triple-A</t>
  </si>
  <si>
    <t>BB% - Minors</t>
  </si>
  <si>
    <t>K% - Minors</t>
  </si>
  <si>
    <t>Age</t>
  </si>
  <si>
    <t>PA</t>
  </si>
  <si>
    <t>AB</t>
  </si>
  <si>
    <t>R</t>
  </si>
  <si>
    <t>H</t>
  </si>
  <si>
    <t>HR</t>
  </si>
  <si>
    <t>TB</t>
  </si>
  <si>
    <t>BB</t>
  </si>
  <si>
    <t>SO</t>
  </si>
  <si>
    <t>SB</t>
  </si>
  <si>
    <t>CS</t>
  </si>
  <si>
    <t>AVG</t>
  </si>
  <si>
    <t>OBP</t>
  </si>
  <si>
    <t>SLG</t>
  </si>
  <si>
    <t>OPS</t>
  </si>
  <si>
    <t>ALL (3)</t>
  </si>
  <si>
    <t>ALL (4)</t>
  </si>
  <si>
    <t>ALL (2)</t>
  </si>
  <si>
    <t>AA</t>
  </si>
  <si>
    <t>A+</t>
  </si>
  <si>
    <t>A</t>
  </si>
  <si>
    <t>AAA</t>
  </si>
  <si>
    <t>Spd (out of 80) - Minors</t>
  </si>
  <si>
    <t>Rank</t>
  </si>
  <si>
    <t>Level</t>
  </si>
  <si>
    <t>Jordan Lawlar</t>
  </si>
  <si>
    <t>Kristian Campbell</t>
  </si>
  <si>
    <t>Sebastian Walcott</t>
  </si>
  <si>
    <t>Kevin McGonigle</t>
  </si>
  <si>
    <t>Chase DeLauter</t>
  </si>
  <si>
    <t>Data for Top 50 Hitting Prospects from mlb.com</t>
  </si>
  <si>
    <t>ISO - minors</t>
  </si>
  <si>
    <t>OPS+ - minors</t>
  </si>
  <si>
    <t>PROJ - Hitting WAR</t>
  </si>
  <si>
    <t>standard 18% reduction in ability when moving from AAA/Minors to the MLB</t>
  </si>
  <si>
    <t>m = 0.82 as a general factor for the move from Minors to Majors:</t>
  </si>
  <si>
    <t>M = sqrt of m = 0.905</t>
  </si>
  <si>
    <t>PF for Each Top 50 Prospect</t>
  </si>
  <si>
    <t>PF</t>
  </si>
  <si>
    <t>ALL</t>
  </si>
  <si>
    <t>Calculating MLE for Top 50 Hitting Prospects based on their Current MiLB Stats (Info from Dan Szymborski)</t>
  </si>
  <si>
    <t>Outs</t>
  </si>
  <si>
    <t>ABs</t>
  </si>
  <si>
    <t>PROJ - wOBA</t>
  </si>
  <si>
    <t>League Avg wOBA = .320, wOBA scale = 1.25 (Fangraphs)</t>
  </si>
  <si>
    <t>Avg PA in MLB - 550 (full season)</t>
  </si>
  <si>
    <t>PROJ - Runs per PA/AB  (based on data on right)</t>
  </si>
  <si>
    <t>OBP scale for wOBA = 0.69, SLG scale for wOBA = 0.72</t>
  </si>
  <si>
    <t>PROJ - wRC+</t>
  </si>
  <si>
    <t>2024 Top 50 Prospects: Position Players (mlb.com) - Pitcherlist.com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</si>
</sst>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0.000"/>
    <numFmt numFmtId="165" formatCode="0.0"/>
    <numFmt numFmtId="166" formatCode="&quot;$&quot;#,##0.00"/>
  </numFmts>
  <fonts count="6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rgb="FF000000"/>
      <name val="Aptos Narrow"/>
      <family val="2"/>
    </font>
    <font>
      <sz val="10"/>
      <color rgb="FF000000"/>
      <name val="Aptos Narrow"/>
      <family val="2"/>
    </font>
    <font>
      <sz val="12"/>
      <color rgb="FF000000"/>
      <name val="Aptos Narrow"/>
      <family val="2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rgb="FF00B050"/>
      <name val="Aptos Narrow"/>
      <family val="2"/>
    </font>
    <font>
      <b/>
      <sz val="10"/>
      <color rgb="FFC00000"/>
      <name val="Aptos Narrow"/>
      <family val="2"/>
    </font>
    <font>
      <b/>
      <sz val="10"/>
      <color theme="1"/>
      <name val="Aptos Narrow"/>
      <scheme val="minor"/>
    </font>
    <font>
      <b/>
      <sz val="16"/>
      <color theme="0"/>
      <name val="Aptos Narrow (Body)"/>
    </font>
    <font>
      <sz val="16"/>
      <color theme="0"/>
      <name val="Aptos Narrow (Body)"/>
    </font>
    <font>
      <b/>
      <sz val="10"/>
      <color rgb="FF000000"/>
      <name val="Aptos Narrow"/>
      <family val="2"/>
      <scheme val="minor"/>
    </font>
    <font>
      <sz val="10"/>
      <color theme="1"/>
      <name val="Aptos Narrow (Body)"/>
    </font>
    <font>
      <sz val="10"/>
      <color rgb="FF000000"/>
      <name val="Aptos Narrow (Body)"/>
    </font>
    <font>
      <b/>
      <sz val="10"/>
      <color rgb="FF000000"/>
      <name val="Aptos Narrow"/>
    </font>
    <font>
      <b/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b/>
      <sz val="16"/>
      <color rgb="FF333333"/>
      <name val="Courier New"/>
      <family val="1"/>
    </font>
    <font>
      <sz val="10"/>
      <color rgb="FF333333"/>
      <name val="Aptos Narrow"/>
    </font>
    <font>
      <sz val="10"/>
      <color rgb="FF000000"/>
      <name val="Aptos Narrow"/>
    </font>
    <font>
      <sz val="10"/>
      <color rgb="FF000000"/>
      <name val="Aptos Narrow"/>
      <family val="2"/>
      <scheme val="minor"/>
    </font>
    <font>
      <sz val="10"/>
      <color rgb="FF000000"/>
      <name val="Aptos Narrow"/>
      <scheme val="minor"/>
    </font>
    <font>
      <sz val="10"/>
      <color rgb="FF333333"/>
      <name val="Aptos Narrow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.5"/>
      <color theme="1"/>
      <name val="Helvetica"/>
      <family val="2"/>
    </font>
    <font>
      <u/>
      <sz val="10.5"/>
      <color theme="1"/>
      <name val="Helvetica"/>
      <family val="2"/>
    </font>
    <font>
      <b/>
      <i/>
      <sz val="10.5"/>
      <color theme="1"/>
      <name val="Helvetica"/>
      <family val="2"/>
    </font>
    <font>
      <b/>
      <sz val="10.5"/>
      <color theme="1"/>
      <name val="Helvetica"/>
      <family val="2"/>
    </font>
    <font>
      <u/>
      <sz val="12"/>
      <color theme="10"/>
      <name val="Aptos Narrow"/>
      <family val="2"/>
      <scheme val="minor"/>
    </font>
    <font>
      <b/>
      <sz val="10"/>
      <color rgb="FF000000"/>
      <name val="Aptos Narrow"/>
      <scheme val="minor"/>
    </font>
    <font>
      <b/>
      <sz val="10"/>
      <color rgb="FFC00000"/>
      <name val="Aptos Narrow"/>
      <family val="2"/>
      <scheme val="minor"/>
    </font>
    <font>
      <b/>
      <sz val="10"/>
      <color rgb="FF333333"/>
      <name val="Aptos Narrow"/>
      <scheme val="minor"/>
    </font>
    <font>
      <b/>
      <sz val="12"/>
      <color rgb="FF333333"/>
      <name val="Helvetica Neue"/>
      <family val="2"/>
    </font>
    <font>
      <sz val="12"/>
      <color rgb="FF333333"/>
      <name val="Helvetica"/>
      <family val="2"/>
    </font>
    <font>
      <sz val="10"/>
      <color rgb="FF333333"/>
      <name val="Aptos Narrow"/>
      <scheme val="minor"/>
    </font>
    <font>
      <sz val="10"/>
      <color theme="1"/>
      <name val="Aptos Narrow"/>
      <scheme val="minor"/>
    </font>
    <font>
      <b/>
      <u/>
      <sz val="16"/>
      <color theme="0"/>
      <name val="Aptos Narrow (Body)"/>
    </font>
    <font>
      <b/>
      <sz val="14"/>
      <color theme="1"/>
      <name val="Aptos Narrow (Body)"/>
    </font>
    <font>
      <b/>
      <sz val="14"/>
      <color rgb="FF000000"/>
      <name val="Aptos Narrow"/>
    </font>
    <font>
      <sz val="16"/>
      <color theme="0"/>
      <name val="Aptos Narrow"/>
      <scheme val="minor"/>
    </font>
    <font>
      <b/>
      <u/>
      <sz val="14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theme="1"/>
      <name val="Helvetica Neue"/>
      <family val="2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sz val="14"/>
      <color rgb="FF333333"/>
      <name val="Helvetica"/>
      <family val="2"/>
    </font>
    <font>
      <sz val="18"/>
      <color theme="1"/>
      <name val="Aptos Narrow"/>
      <family val="2"/>
      <scheme val="minor"/>
    </font>
    <font>
      <b/>
      <sz val="12"/>
      <color rgb="FF000000"/>
      <name val="Aptos Narrow"/>
      <scheme val="minor"/>
    </font>
    <font>
      <b/>
      <sz val="18"/>
      <color theme="1"/>
      <name val="Aptos Narrow"/>
      <scheme val="minor"/>
    </font>
    <font>
      <b/>
      <sz val="9.4"/>
      <color rgb="FF000000"/>
      <name val="Verdana"/>
      <family val="2"/>
    </font>
    <font>
      <b/>
      <sz val="12"/>
      <color rgb="FF000000"/>
      <name val="Helvetica"/>
      <family val="2"/>
    </font>
    <font>
      <b/>
      <sz val="18"/>
      <color rgb="FFC00000"/>
      <name val="Aptos Narrow (Body)"/>
    </font>
    <font>
      <b/>
      <sz val="18"/>
      <color rgb="FF000000"/>
      <name val="Aptos Narrow (Body)"/>
    </font>
  </fonts>
  <fills count="1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1" fillId="0" borderId="0" applyFont="0" applyFill="0" applyBorder="0" applyAlignment="0" applyProtection="0"/>
    <xf numFmtId="0" fontId="36" fillId="0" borderId="0" applyNumberFormat="0" applyFill="0" applyBorder="0" applyAlignment="0" applyProtection="0"/>
  </cellStyleXfs>
  <cellXfs count="182"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6" fontId="7" fillId="0" borderId="0" xfId="0" applyNumberFormat="1" applyFont="1" applyAlignment="1">
      <alignment wrapText="1"/>
    </xf>
    <xf numFmtId="0" fontId="9" fillId="0" borderId="0" xfId="0" applyFont="1"/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164" fontId="7" fillId="0" borderId="0" xfId="0" applyNumberFormat="1" applyFont="1" applyAlignment="1">
      <alignment wrapText="1"/>
    </xf>
    <xf numFmtId="164" fontId="9" fillId="0" borderId="0" xfId="0" applyNumberFormat="1" applyFont="1"/>
    <xf numFmtId="2" fontId="7" fillId="0" borderId="0" xfId="0" applyNumberFormat="1" applyFont="1" applyAlignment="1">
      <alignment wrapText="1"/>
    </xf>
    <xf numFmtId="0" fontId="16" fillId="0" borderId="0" xfId="0" applyFont="1" applyAlignment="1">
      <alignment wrapText="1"/>
    </xf>
    <xf numFmtId="0" fontId="13" fillId="0" borderId="0" xfId="0" applyFont="1"/>
    <xf numFmtId="1" fontId="9" fillId="0" borderId="0" xfId="0" applyNumberFormat="1" applyFont="1"/>
    <xf numFmtId="2" fontId="9" fillId="0" borderId="0" xfId="0" applyNumberFormat="1" applyFont="1"/>
    <xf numFmtId="165" fontId="9" fillId="0" borderId="0" xfId="0" applyNumberFormat="1" applyFont="1"/>
    <xf numFmtId="165" fontId="17" fillId="0" borderId="0" xfId="0" applyNumberFormat="1" applyFont="1"/>
    <xf numFmtId="1" fontId="17" fillId="0" borderId="0" xfId="0" applyNumberFormat="1" applyFont="1"/>
    <xf numFmtId="2" fontId="17" fillId="0" borderId="0" xfId="0" applyNumberFormat="1" applyFont="1"/>
    <xf numFmtId="164" fontId="17" fillId="0" borderId="0" xfId="0" applyNumberFormat="1" applyFont="1"/>
    <xf numFmtId="0" fontId="17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/>
    <xf numFmtId="9" fontId="17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2" fontId="0" fillId="0" borderId="0" xfId="0" applyNumberFormat="1"/>
    <xf numFmtId="0" fontId="17" fillId="0" borderId="0" xfId="0" applyFont="1" applyAlignment="1">
      <alignment wrapText="1"/>
    </xf>
    <xf numFmtId="0" fontId="23" fillId="0" borderId="0" xfId="0" applyFont="1"/>
    <xf numFmtId="0" fontId="24" fillId="0" borderId="0" xfId="0" applyFont="1"/>
    <xf numFmtId="164" fontId="24" fillId="0" borderId="0" xfId="0" applyNumberFormat="1" applyFont="1"/>
    <xf numFmtId="166" fontId="7" fillId="0" borderId="0" xfId="0" applyNumberFormat="1" applyFont="1" applyAlignment="1">
      <alignment wrapText="1"/>
    </xf>
    <xf numFmtId="0" fontId="25" fillId="0" borderId="0" xfId="0" applyFont="1" applyAlignment="1">
      <alignment wrapText="1"/>
    </xf>
    <xf numFmtId="0" fontId="26" fillId="0" borderId="0" xfId="0" applyFont="1" applyAlignment="1">
      <alignment wrapText="1"/>
    </xf>
    <xf numFmtId="1" fontId="7" fillId="0" borderId="0" xfId="0" applyNumberFormat="1" applyFont="1" applyAlignment="1">
      <alignment wrapText="1"/>
    </xf>
    <xf numFmtId="0" fontId="26" fillId="0" borderId="0" xfId="0" applyFont="1"/>
    <xf numFmtId="0" fontId="5" fillId="0" borderId="0" xfId="0" applyFont="1" applyAlignment="1">
      <alignment wrapText="1"/>
    </xf>
    <xf numFmtId="0" fontId="4" fillId="0" borderId="0" xfId="0" applyFont="1"/>
    <xf numFmtId="0" fontId="27" fillId="0" borderId="0" xfId="0" applyFont="1" applyAlignment="1">
      <alignment wrapText="1"/>
    </xf>
    <xf numFmtId="0" fontId="28" fillId="0" borderId="0" xfId="0" applyFont="1"/>
    <xf numFmtId="164" fontId="28" fillId="0" borderId="0" xfId="0" applyNumberFormat="1" applyFont="1"/>
    <xf numFmtId="0" fontId="4" fillId="0" borderId="0" xfId="0" applyFont="1" applyAlignment="1">
      <alignment wrapText="1"/>
    </xf>
    <xf numFmtId="9" fontId="7" fillId="0" borderId="0" xfId="1" applyFont="1" applyAlignment="1">
      <alignment wrapText="1"/>
    </xf>
    <xf numFmtId="0" fontId="29" fillId="6" borderId="1" xfId="0" applyFont="1" applyFill="1" applyBorder="1"/>
    <xf numFmtId="0" fontId="0" fillId="7" borderId="1" xfId="0" applyFill="1" applyBorder="1"/>
    <xf numFmtId="0" fontId="0" fillId="0" borderId="1" xfId="0" applyBorder="1"/>
    <xf numFmtId="2" fontId="0" fillId="7" borderId="1" xfId="0" applyNumberFormat="1" applyFill="1" applyBorder="1"/>
    <xf numFmtId="9" fontId="4" fillId="0" borderId="0" xfId="1" applyFont="1"/>
    <xf numFmtId="0" fontId="30" fillId="0" borderId="0" xfId="0" applyFont="1"/>
    <xf numFmtId="0" fontId="27" fillId="0" borderId="0" xfId="0" applyFont="1"/>
    <xf numFmtId="0" fontId="14" fillId="0" borderId="0" xfId="0" applyFont="1"/>
    <xf numFmtId="0" fontId="15" fillId="0" borderId="0" xfId="0" applyFont="1"/>
    <xf numFmtId="165" fontId="0" fillId="0" borderId="0" xfId="0" applyNumberFormat="1"/>
    <xf numFmtId="0" fontId="33" fillId="0" borderId="2" xfId="0" applyFont="1" applyBorder="1"/>
    <xf numFmtId="0" fontId="34" fillId="0" borderId="2" xfId="0" applyFont="1" applyBorder="1"/>
    <xf numFmtId="0" fontId="35" fillId="0" borderId="2" xfId="0" applyFont="1" applyBorder="1"/>
    <xf numFmtId="0" fontId="32" fillId="0" borderId="2" xfId="0" applyFont="1" applyBorder="1" applyAlignment="1">
      <alignment horizontal="right"/>
    </xf>
    <xf numFmtId="2" fontId="32" fillId="0" borderId="2" xfId="0" applyNumberFormat="1" applyFont="1" applyBorder="1" applyAlignment="1">
      <alignment horizontal="right"/>
    </xf>
    <xf numFmtId="164" fontId="32" fillId="0" borderId="2" xfId="0" applyNumberFormat="1" applyFont="1" applyBorder="1" applyAlignment="1">
      <alignment horizontal="right"/>
    </xf>
    <xf numFmtId="2" fontId="32" fillId="0" borderId="2" xfId="0" applyNumberFormat="1" applyFont="1" applyBorder="1" applyAlignment="1">
      <alignment horizontal="right" wrapText="1"/>
    </xf>
    <xf numFmtId="10" fontId="32" fillId="0" borderId="2" xfId="0" applyNumberFormat="1" applyFont="1" applyBorder="1" applyAlignment="1">
      <alignment horizontal="right"/>
    </xf>
    <xf numFmtId="2" fontId="26" fillId="0" borderId="0" xfId="0" applyNumberFormat="1" applyFont="1" applyAlignment="1">
      <alignment wrapText="1"/>
    </xf>
    <xf numFmtId="164" fontId="26" fillId="0" borderId="0" xfId="0" applyNumberFormat="1" applyFont="1" applyAlignment="1">
      <alignment wrapText="1"/>
    </xf>
    <xf numFmtId="0" fontId="40" fillId="0" borderId="0" xfId="0" applyFont="1"/>
    <xf numFmtId="0" fontId="41" fillId="0" borderId="0" xfId="0" applyFont="1"/>
    <xf numFmtId="0" fontId="36" fillId="0" borderId="0" xfId="2"/>
    <xf numFmtId="0" fontId="42" fillId="0" borderId="0" xfId="0" applyFont="1"/>
    <xf numFmtId="0" fontId="38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42" fillId="0" borderId="2" xfId="0" applyFont="1" applyBorder="1"/>
    <xf numFmtId="0" fontId="7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/>
    <xf numFmtId="0" fontId="28" fillId="0" borderId="2" xfId="0" applyFont="1" applyBorder="1"/>
    <xf numFmtId="0" fontId="18" fillId="0" borderId="2" xfId="0" applyFont="1" applyBorder="1" applyAlignment="1">
      <alignment wrapText="1"/>
    </xf>
    <xf numFmtId="164" fontId="18" fillId="0" borderId="2" xfId="0" applyNumberFormat="1" applyFont="1" applyBorder="1" applyAlignment="1">
      <alignment wrapText="1"/>
    </xf>
    <xf numFmtId="0" fontId="9" fillId="0" borderId="2" xfId="0" applyFont="1" applyBorder="1"/>
    <xf numFmtId="0" fontId="17" fillId="0" borderId="2" xfId="0" applyFont="1" applyBorder="1"/>
    <xf numFmtId="164" fontId="17" fillId="0" borderId="2" xfId="0" applyNumberFormat="1" applyFont="1" applyBorder="1"/>
    <xf numFmtId="164" fontId="28" fillId="0" borderId="2" xfId="0" applyNumberFormat="1" applyFont="1" applyBorder="1"/>
    <xf numFmtId="0" fontId="16" fillId="0" borderId="2" xfId="0" applyFont="1" applyBorder="1" applyAlignment="1">
      <alignment wrapText="1"/>
    </xf>
    <xf numFmtId="0" fontId="37" fillId="0" borderId="2" xfId="0" applyFont="1" applyBorder="1" applyAlignment="1">
      <alignment wrapText="1"/>
    </xf>
    <xf numFmtId="0" fontId="26" fillId="0" borderId="2" xfId="0" applyFont="1" applyBorder="1" applyAlignment="1">
      <alignment wrapText="1"/>
    </xf>
    <xf numFmtId="0" fontId="27" fillId="0" borderId="2" xfId="0" applyFont="1" applyBorder="1" applyAlignment="1">
      <alignment wrapText="1"/>
    </xf>
    <xf numFmtId="0" fontId="43" fillId="0" borderId="2" xfId="0" applyFont="1" applyBorder="1"/>
    <xf numFmtId="2" fontId="26" fillId="0" borderId="2" xfId="0" applyNumberFormat="1" applyFont="1" applyBorder="1" applyAlignment="1">
      <alignment wrapText="1"/>
    </xf>
    <xf numFmtId="0" fontId="26" fillId="0" borderId="2" xfId="0" applyFont="1" applyBorder="1"/>
    <xf numFmtId="0" fontId="44" fillId="11" borderId="2" xfId="0" applyFont="1" applyFill="1" applyBorder="1"/>
    <xf numFmtId="0" fontId="39" fillId="0" borderId="2" xfId="0" applyFont="1" applyBorder="1"/>
    <xf numFmtId="0" fontId="13" fillId="0" borderId="2" xfId="0" applyFont="1" applyBorder="1"/>
    <xf numFmtId="0" fontId="39" fillId="0" borderId="6" xfId="0" applyFont="1" applyBorder="1"/>
    <xf numFmtId="0" fontId="26" fillId="0" borderId="6" xfId="0" applyFont="1" applyBorder="1" applyAlignment="1">
      <alignment wrapText="1"/>
    </xf>
    <xf numFmtId="0" fontId="20" fillId="12" borderId="2" xfId="0" applyFont="1" applyFill="1" applyBorder="1"/>
    <xf numFmtId="0" fontId="43" fillId="12" borderId="2" xfId="0" applyFont="1" applyFill="1" applyBorder="1"/>
    <xf numFmtId="0" fontId="0" fillId="12" borderId="2" xfId="0" applyFill="1" applyBorder="1"/>
    <xf numFmtId="0" fontId="20" fillId="13" borderId="2" xfId="0" applyFont="1" applyFill="1" applyBorder="1"/>
    <xf numFmtId="0" fontId="0" fillId="13" borderId="2" xfId="0" applyFill="1" applyBorder="1"/>
    <xf numFmtId="0" fontId="43" fillId="13" borderId="2" xfId="0" applyFont="1" applyFill="1" applyBorder="1"/>
    <xf numFmtId="1" fontId="0" fillId="13" borderId="2" xfId="0" applyNumberFormat="1" applyFill="1" applyBorder="1"/>
    <xf numFmtId="0" fontId="19" fillId="0" borderId="2" xfId="0" applyFont="1" applyBorder="1" applyAlignment="1">
      <alignment horizontal="center" wrapText="1"/>
    </xf>
    <xf numFmtId="0" fontId="20" fillId="0" borderId="2" xfId="0" applyFont="1" applyBorder="1" applyAlignment="1">
      <alignment horizontal="center"/>
    </xf>
    <xf numFmtId="164" fontId="0" fillId="0" borderId="2" xfId="0" applyNumberFormat="1" applyBorder="1"/>
    <xf numFmtId="2" fontId="0" fillId="0" borderId="2" xfId="0" applyNumberFormat="1" applyBorder="1"/>
    <xf numFmtId="165" fontId="0" fillId="0" borderId="2" xfId="0" applyNumberFormat="1" applyBorder="1"/>
    <xf numFmtId="0" fontId="26" fillId="0" borderId="7" xfId="0" applyFont="1" applyBorder="1" applyAlignment="1">
      <alignment wrapText="1"/>
    </xf>
    <xf numFmtId="0" fontId="26" fillId="0" borderId="7" xfId="0" applyFont="1" applyBorder="1"/>
    <xf numFmtId="2" fontId="41" fillId="0" borderId="0" xfId="0" applyNumberFormat="1" applyFont="1"/>
    <xf numFmtId="2" fontId="3" fillId="0" borderId="2" xfId="0" applyNumberFormat="1" applyFont="1" applyBorder="1"/>
    <xf numFmtId="1" fontId="0" fillId="12" borderId="2" xfId="0" applyNumberFormat="1" applyFill="1" applyBorder="1"/>
    <xf numFmtId="0" fontId="48" fillId="0" borderId="0" xfId="0" applyFont="1"/>
    <xf numFmtId="0" fontId="49" fillId="0" borderId="0" xfId="0" applyFont="1"/>
    <xf numFmtId="0" fontId="2" fillId="11" borderId="0" xfId="0" applyFont="1" applyFill="1"/>
    <xf numFmtId="0" fontId="0" fillId="11" borderId="0" xfId="0" applyFill="1"/>
    <xf numFmtId="1" fontId="0" fillId="11" borderId="0" xfId="0" applyNumberFormat="1" applyFill="1"/>
    <xf numFmtId="0" fontId="14" fillId="2" borderId="0" xfId="0" applyFont="1" applyFill="1" applyAlignment="1">
      <alignment horizontal="center"/>
    </xf>
    <xf numFmtId="0" fontId="14" fillId="3" borderId="0" xfId="0" applyFont="1" applyFill="1" applyAlignment="1">
      <alignment horizontal="center"/>
    </xf>
    <xf numFmtId="0" fontId="22" fillId="5" borderId="0" xfId="0" applyFont="1" applyFill="1" applyAlignment="1">
      <alignment horizontal="center"/>
    </xf>
    <xf numFmtId="0" fontId="15" fillId="4" borderId="0" xfId="0" applyFont="1" applyFill="1" applyAlignment="1">
      <alignment horizont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5" fillId="8" borderId="0" xfId="0" applyFont="1" applyFill="1" applyAlignment="1">
      <alignment horizontal="center"/>
    </xf>
    <xf numFmtId="0" fontId="47" fillId="14" borderId="0" xfId="0" applyFont="1" applyFill="1" applyAlignment="1">
      <alignment horizontal="center"/>
    </xf>
    <xf numFmtId="0" fontId="14" fillId="9" borderId="0" xfId="0" applyFont="1" applyFill="1" applyAlignment="1">
      <alignment horizontal="center"/>
    </xf>
    <xf numFmtId="0" fontId="44" fillId="10" borderId="3" xfId="0" applyFont="1" applyFill="1" applyBorder="1" applyAlignment="1">
      <alignment horizontal="center"/>
    </xf>
    <xf numFmtId="0" fontId="46" fillId="12" borderId="4" xfId="0" applyFont="1" applyFill="1" applyBorder="1" applyAlignment="1">
      <alignment horizontal="center" wrapText="1"/>
    </xf>
    <xf numFmtId="0" fontId="46" fillId="12" borderId="5" xfId="0" applyFont="1" applyFill="1" applyBorder="1" applyAlignment="1">
      <alignment horizontal="center" wrapText="1"/>
    </xf>
    <xf numFmtId="0" fontId="45" fillId="13" borderId="4" xfId="0" applyFont="1" applyFill="1" applyBorder="1" applyAlignment="1">
      <alignment horizontal="center"/>
    </xf>
    <xf numFmtId="0" fontId="45" fillId="13" borderId="5" xfId="0" applyFont="1" applyFill="1" applyBorder="1" applyAlignment="1">
      <alignment horizontal="center"/>
    </xf>
    <xf numFmtId="0" fontId="14" fillId="3" borderId="3" xfId="0" applyFont="1" applyFill="1" applyBorder="1" applyAlignment="1">
      <alignment horizontal="center"/>
    </xf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43" fillId="0" borderId="0" xfId="0" applyFont="1"/>
    <xf numFmtId="0" fontId="43" fillId="0" borderId="0" xfId="0" applyFont="1" applyBorder="1"/>
    <xf numFmtId="0" fontId="43" fillId="0" borderId="6" xfId="0" applyFont="1" applyFill="1" applyBorder="1"/>
    <xf numFmtId="165" fontId="43" fillId="0" borderId="6" xfId="0" applyNumberFormat="1" applyFont="1" applyFill="1" applyBorder="1"/>
    <xf numFmtId="0" fontId="54" fillId="15" borderId="0" xfId="0" applyFont="1" applyFill="1" applyAlignment="1">
      <alignment horizontal="center"/>
    </xf>
    <xf numFmtId="0" fontId="0" fillId="0" borderId="2" xfId="0" applyBorder="1"/>
    <xf numFmtId="0" fontId="51" fillId="0" borderId="2" xfId="0" applyFont="1" applyBorder="1"/>
    <xf numFmtId="164" fontId="28" fillId="0" borderId="6" xfId="0" applyNumberFormat="1" applyFont="1" applyFill="1" applyBorder="1"/>
    <xf numFmtId="0" fontId="55" fillId="0" borderId="0" xfId="0" applyFont="1"/>
    <xf numFmtId="1" fontId="28" fillId="0" borderId="2" xfId="0" applyNumberFormat="1" applyFont="1" applyBorder="1"/>
    <xf numFmtId="1" fontId="1" fillId="0" borderId="2" xfId="0" applyNumberFormat="1" applyFont="1" applyBorder="1"/>
    <xf numFmtId="0" fontId="14" fillId="0" borderId="0" xfId="0" applyFont="1" applyFill="1" applyBorder="1" applyAlignment="1"/>
    <xf numFmtId="0" fontId="54" fillId="16" borderId="0" xfId="0" applyFont="1" applyFill="1" applyAlignment="1">
      <alignment horizontal="center"/>
    </xf>
    <xf numFmtId="0" fontId="56" fillId="16" borderId="0" xfId="0" applyFont="1" applyFill="1" applyAlignment="1">
      <alignment horizontal="center"/>
    </xf>
    <xf numFmtId="0" fontId="30" fillId="0" borderId="2" xfId="0" applyFont="1" applyBorder="1"/>
    <xf numFmtId="0" fontId="20" fillId="0" borderId="2" xfId="0" applyFont="1" applyBorder="1"/>
    <xf numFmtId="0" fontId="6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1" fontId="7" fillId="0" borderId="0" xfId="0" applyNumberFormat="1" applyFont="1" applyBorder="1" applyAlignment="1">
      <alignment wrapText="1"/>
    </xf>
    <xf numFmtId="0" fontId="0" fillId="0" borderId="0" xfId="0" applyBorder="1"/>
    <xf numFmtId="0" fontId="6" fillId="0" borderId="0" xfId="0" applyFont="1" applyFill="1" applyBorder="1" applyAlignment="1">
      <alignment wrapText="1"/>
    </xf>
    <xf numFmtId="0" fontId="10" fillId="0" borderId="0" xfId="0" applyFont="1" applyBorder="1"/>
    <xf numFmtId="0" fontId="20" fillId="0" borderId="4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2" fontId="0" fillId="13" borderId="2" xfId="0" applyNumberFormat="1" applyFill="1" applyBorder="1"/>
    <xf numFmtId="2" fontId="0" fillId="13" borderId="2" xfId="1" applyNumberFormat="1" applyFont="1" applyFill="1" applyBorder="1"/>
    <xf numFmtId="0" fontId="57" fillId="0" borderId="0" xfId="0" applyFont="1"/>
    <xf numFmtId="0" fontId="58" fillId="0" borderId="0" xfId="0" applyFont="1"/>
    <xf numFmtId="0" fontId="58" fillId="0" borderId="2" xfId="0" applyFont="1" applyBorder="1"/>
    <xf numFmtId="164" fontId="30" fillId="0" borderId="2" xfId="0" applyNumberFormat="1" applyFont="1" applyBorder="1"/>
    <xf numFmtId="1" fontId="30" fillId="0" borderId="2" xfId="0" applyNumberFormat="1" applyFont="1" applyBorder="1"/>
    <xf numFmtId="0" fontId="59" fillId="0" borderId="2" xfId="0" applyFont="1" applyBorder="1" applyAlignment="1">
      <alignment wrapText="1"/>
    </xf>
    <xf numFmtId="0" fontId="60" fillId="0" borderId="2" xfId="0" applyFont="1" applyBorder="1" applyAlignment="1">
      <alignment wrapText="1"/>
    </xf>
    <xf numFmtId="0" fontId="60" fillId="17" borderId="2" xfId="0" applyFont="1" applyFill="1" applyBorder="1" applyAlignment="1">
      <alignment wrapText="1"/>
    </xf>
    <xf numFmtId="0" fontId="1" fillId="0" borderId="0" xfId="0" applyFont="1" applyBorder="1"/>
    <xf numFmtId="0" fontId="3" fillId="0" borderId="0" xfId="0" applyFont="1" applyBorder="1"/>
    <xf numFmtId="0" fontId="43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/>
    <xf numFmtId="0" fontId="20" fillId="0" borderId="0" xfId="0" applyFont="1" applyFill="1" applyBorder="1"/>
    <xf numFmtId="0" fontId="0" fillId="0" borderId="0" xfId="0" applyFill="1" applyBorder="1"/>
    <xf numFmtId="1" fontId="0" fillId="0" borderId="2" xfId="0" applyNumberFormat="1" applyBorder="1"/>
    <xf numFmtId="2" fontId="19" fillId="17" borderId="2" xfId="0" applyNumberFormat="1" applyFont="1" applyFill="1" applyBorder="1" applyAlignment="1">
      <alignment wrapText="1"/>
    </xf>
  </cellXfs>
  <cellStyles count="3">
    <cellStyle name="Hyperlink" xfId="2" builtinId="8"/>
    <cellStyle name="Normal" xfId="0" builtinId="0"/>
    <cellStyle name="Percent" xfId="1" builtinId="5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[Evaluating First-Round Pitchers vs. Position Players with Prospects.xlsx]Charts &amp; Graphs!PivotTable10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Average WAR of First-Round Pitchers vs. Position Players Over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'Charts &amp; Graphs'!$B$2:$B$3</c:f>
              <c:strCache>
                <c:ptCount val="1"/>
                <c:pt idx="0">
                  <c:v>Pitcher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'Charts &amp; Graphs'!$A$4:$A$6</c:f>
              <c:strCache>
                <c:ptCount val="2"/>
                <c:pt idx="0">
                  <c:v>2014</c:v>
                </c:pt>
                <c:pt idx="1">
                  <c:v>2019</c:v>
                </c:pt>
              </c:strCache>
            </c:strRef>
          </c:cat>
          <c:val>
            <c:numRef>
              <c:f>'Charts &amp; Graphs'!$B$4:$B$6</c:f>
              <c:numCache>
                <c:formatCode>General</c:formatCode>
                <c:ptCount val="2"/>
                <c:pt idx="0">
                  <c:v>4.7500000000000009</c:v>
                </c:pt>
                <c:pt idx="1">
                  <c:v>1.4066666666666665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BB-1245-B670-A644A8D50897}"/>
            </c:ext>
          </c:extLst>
        </c:ser>
        <c:ser>
          <c:idx val="1"/>
          <c:order val="1"/>
          <c:tx>
            <c:strRef>
              <c:f>'Charts &amp; Graphs'!$C$2:$C$3</c:f>
              <c:strCache>
                <c:ptCount val="1"/>
                <c:pt idx="0">
                  <c:v>Position Player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'Charts &amp; Graphs'!$A$4:$A$6</c:f>
              <c:strCache>
                <c:ptCount val="2"/>
                <c:pt idx="0">
                  <c:v>2014</c:v>
                </c:pt>
                <c:pt idx="1">
                  <c:v>2019</c:v>
                </c:pt>
              </c:strCache>
            </c:strRef>
          </c:cat>
          <c:val>
            <c:numRef>
              <c:f>'Charts &amp; Graphs'!$C$4:$C$6</c:f>
              <c:numCache>
                <c:formatCode>0.00</c:formatCode>
                <c:ptCount val="2"/>
                <c:pt idx="0">
                  <c:v>4.9142857142857155</c:v>
                </c:pt>
                <c:pt idx="1">
                  <c:v>2.7307692307692308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BB-1245-B670-A644A8D50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3463376"/>
        <c:axId val="2062016687"/>
      </c:lineChart>
      <c:catAx>
        <c:axId val="553463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 i="0" u="none" strike="noStrike" cap="all" baseline="0"/>
                  <a:t>MLB Draft Year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016687"/>
        <c:crosses val="autoZero"/>
        <c:auto val="1"/>
        <c:lblAlgn val="ctr"/>
        <c:lblOffset val="100"/>
        <c:noMultiLvlLbl val="0"/>
      </c:catAx>
      <c:valAx>
        <c:axId val="2062016687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 i="0" u="none" strike="noStrike" cap="all" baseline="0"/>
                  <a:t>Average WAR by position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9444444444444445E-2"/>
              <c:y val="0.287665864683581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463376"/>
        <c:crosses val="autoZero"/>
        <c:crossBetween val="between"/>
        <c:majorUnit val="0.5"/>
        <c:minorUnit val="0.2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Avg of War by Position (2014 &amp; 2019)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'Charts &amp; Graphs'!$A$21</c:f>
              <c:strCache>
                <c:ptCount val="1"/>
                <c:pt idx="0">
                  <c:v>Avg of War by Position (2014 &amp; 2019)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'Charts &amp; Graphs'!$A$22:$A$23</c:f>
              <c:numCache>
                <c:formatCode>General</c:formatCode>
                <c:ptCount val="2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4D-2846-9975-3C4215E48585}"/>
            </c:ext>
          </c:extLst>
        </c:ser>
        <c:ser>
          <c:idx val="1"/>
          <c:order val="1"/>
          <c:tx>
            <c:strRef>
              <c:f>'Charts &amp; Graphs'!$B$21</c:f>
              <c:strCache>
                <c:ptCount val="1"/>
                <c:pt idx="0">
                  <c:v>LHP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'Charts &amp; Graphs'!$B$22:$B$23</c:f>
              <c:numCache>
                <c:formatCode>General</c:formatCode>
                <c:ptCount val="2"/>
                <c:pt idx="0" formatCode="0.00">
                  <c:v>3.4250000000000003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4D-2846-9975-3C4215E48585}"/>
            </c:ext>
          </c:extLst>
        </c:ser>
        <c:ser>
          <c:idx val="2"/>
          <c:order val="2"/>
          <c:tx>
            <c:strRef>
              <c:f>'Charts &amp; Graphs'!$C$21</c:f>
              <c:strCache>
                <c:ptCount val="1"/>
                <c:pt idx="0">
                  <c:v>RHP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'Charts &amp; Graphs'!$C$22:$C$23</c:f>
              <c:numCache>
                <c:formatCode>General</c:formatCode>
                <c:ptCount val="2"/>
                <c:pt idx="0" formatCode="0.00">
                  <c:v>3.2608695652173911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4D-2846-9975-3C4215E48585}"/>
            </c:ext>
          </c:extLst>
        </c:ser>
        <c:ser>
          <c:idx val="3"/>
          <c:order val="3"/>
          <c:tx>
            <c:strRef>
              <c:f>'Charts &amp; Graphs'!$D$21</c:f>
              <c:strCache>
                <c:ptCount val="1"/>
                <c:pt idx="0">
                  <c:v>C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'Charts &amp; Graphs'!$D$22:$D$23</c:f>
              <c:numCache>
                <c:formatCode>General</c:formatCode>
                <c:ptCount val="2"/>
                <c:pt idx="0" formatCode="0.00">
                  <c:v>4.0714285714285712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4D-2846-9975-3C4215E48585}"/>
            </c:ext>
          </c:extLst>
        </c:ser>
        <c:ser>
          <c:idx val="4"/>
          <c:order val="4"/>
          <c:tx>
            <c:strRef>
              <c:f>'Charts &amp; Graphs'!$E$21</c:f>
              <c:strCache>
                <c:ptCount val="1"/>
                <c:pt idx="0">
                  <c:v>1B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'Charts &amp; Graphs'!$E$22:$E$23</c:f>
              <c:numCache>
                <c:formatCode>General</c:formatCode>
                <c:ptCount val="2"/>
                <c:pt idx="0" formatCode="0.00">
                  <c:v>6.6666666666666652E-2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A4D-2846-9975-3C4215E48585}"/>
            </c:ext>
          </c:extLst>
        </c:ser>
        <c:ser>
          <c:idx val="5"/>
          <c:order val="5"/>
          <c:tx>
            <c:strRef>
              <c:f>'Charts &amp; Graphs'!$F$21</c:f>
              <c:strCache>
                <c:ptCount val="1"/>
                <c:pt idx="0">
                  <c:v>2B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'Charts &amp; Graphs'!$F$22:$F$23</c:f>
              <c:numCache>
                <c:formatCode>General</c:formatCode>
                <c:ptCount val="2"/>
                <c:pt idx="0">
                  <c:v>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A4D-2846-9975-3C4215E48585}"/>
            </c:ext>
          </c:extLst>
        </c:ser>
        <c:ser>
          <c:idx val="6"/>
          <c:order val="6"/>
          <c:tx>
            <c:strRef>
              <c:f>'Charts &amp; Graphs'!$G$21</c:f>
              <c:strCache>
                <c:ptCount val="1"/>
                <c:pt idx="0">
                  <c:v>3B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'Charts &amp; Graphs'!$G$22:$G$23</c:f>
              <c:numCache>
                <c:formatCode>General</c:formatCode>
                <c:ptCount val="2"/>
                <c:pt idx="0">
                  <c:v>7.3599999999999994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A4D-2846-9975-3C4215E48585}"/>
            </c:ext>
          </c:extLst>
        </c:ser>
        <c:ser>
          <c:idx val="7"/>
          <c:order val="7"/>
          <c:tx>
            <c:strRef>
              <c:f>'Charts &amp; Graphs'!$H$21</c:f>
              <c:strCache>
                <c:ptCount val="1"/>
                <c:pt idx="0">
                  <c:v>SS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'Charts &amp; Graphs'!$H$22:$H$23</c:f>
              <c:numCache>
                <c:formatCode>General</c:formatCode>
                <c:ptCount val="2"/>
                <c:pt idx="0" formatCode="0.00">
                  <c:v>4.3933333333333326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A4D-2846-9975-3C4215E48585}"/>
            </c:ext>
          </c:extLst>
        </c:ser>
        <c:ser>
          <c:idx val="8"/>
          <c:order val="8"/>
          <c:tx>
            <c:strRef>
              <c:f>'Charts &amp; Graphs'!$I$21</c:f>
              <c:strCache>
                <c:ptCount val="1"/>
                <c:pt idx="0">
                  <c:v>OF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'Charts &amp; Graphs'!$I$22:$I$23</c:f>
              <c:numCache>
                <c:formatCode>General</c:formatCode>
                <c:ptCount val="2"/>
                <c:pt idx="0" formatCode="0.00">
                  <c:v>2.686666666666667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A4D-2846-9975-3C4215E48585}"/>
            </c:ext>
          </c:extLst>
        </c:ser>
        <c:ser>
          <c:idx val="9"/>
          <c:order val="9"/>
          <c:tx>
            <c:strRef>
              <c:f>'Charts &amp; Graphs'!$J$21</c:f>
              <c:strCache>
                <c:ptCount val="1"/>
                <c:pt idx="0">
                  <c:v>Average of Every Position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'Charts &amp; Graphs'!$J$22:$J$23</c:f>
              <c:numCache>
                <c:formatCode>General</c:formatCode>
                <c:ptCount val="2"/>
                <c:pt idx="0" formatCode="0.00">
                  <c:v>3.5402439024390246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A4D-2846-9975-3C4215E48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20342944"/>
        <c:axId val="821013456"/>
      </c:barChart>
      <c:catAx>
        <c:axId val="820342944"/>
        <c:scaling>
          <c:orientation val="minMax"/>
        </c:scaling>
        <c:delete val="1"/>
        <c:axPos val="b"/>
        <c:majorTickMark val="none"/>
        <c:minorTickMark val="none"/>
        <c:tickLblPos val="nextTo"/>
        <c:crossAx val="821013456"/>
        <c:crosses val="autoZero"/>
        <c:auto val="1"/>
        <c:lblAlgn val="ctr"/>
        <c:lblOffset val="100"/>
        <c:noMultiLvlLbl val="0"/>
      </c:catAx>
      <c:valAx>
        <c:axId val="82101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of War by Position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34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Successful</a:t>
            </a:r>
            <a:r>
              <a:rPr lang="en-US" baseline="0"/>
              <a:t> Picks from 2014 &amp; 2019 Draft per Team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'Charts &amp; Graphs'!$B$49</c:f>
              <c:strCache>
                <c:ptCount val="1"/>
                <c:pt idx="0">
                  <c:v>Total Picks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'Charts &amp; Graphs'!$A$50:$A$79</c:f>
              <c:strCache>
                <c:ptCount val="30"/>
                <c:pt idx="0">
                  <c:v>Yankees</c:v>
                </c:pt>
                <c:pt idx="1">
                  <c:v>White Sox</c:v>
                </c:pt>
                <c:pt idx="2">
                  <c:v>Twins</c:v>
                </c:pt>
                <c:pt idx="3">
                  <c:v>Tigers</c:v>
                </c:pt>
                <c:pt idx="4">
                  <c:v>Royals</c:v>
                </c:pt>
                <c:pt idx="5">
                  <c:v>Rockies</c:v>
                </c:pt>
                <c:pt idx="6">
                  <c:v>Reds</c:v>
                </c:pt>
                <c:pt idx="7">
                  <c:v>Red Sox</c:v>
                </c:pt>
                <c:pt idx="8">
                  <c:v>Rays</c:v>
                </c:pt>
                <c:pt idx="9">
                  <c:v>Rangers</c:v>
                </c:pt>
                <c:pt idx="10">
                  <c:v>Pirates</c:v>
                </c:pt>
                <c:pt idx="11">
                  <c:v>Phillies</c:v>
                </c:pt>
                <c:pt idx="12">
                  <c:v>Padres</c:v>
                </c:pt>
                <c:pt idx="13">
                  <c:v>Orioles </c:v>
                </c:pt>
                <c:pt idx="14">
                  <c:v>Nationals</c:v>
                </c:pt>
                <c:pt idx="15">
                  <c:v>Mets</c:v>
                </c:pt>
                <c:pt idx="16">
                  <c:v>Marlins</c:v>
                </c:pt>
                <c:pt idx="17">
                  <c:v>Mariners</c:v>
                </c:pt>
                <c:pt idx="18">
                  <c:v>Indians</c:v>
                </c:pt>
                <c:pt idx="19">
                  <c:v>Giants</c:v>
                </c:pt>
                <c:pt idx="20">
                  <c:v>Dodgers</c:v>
                </c:pt>
                <c:pt idx="21">
                  <c:v>Diamondbacks</c:v>
                </c:pt>
                <c:pt idx="22">
                  <c:v>Cubs</c:v>
                </c:pt>
                <c:pt idx="23">
                  <c:v>Cardinals</c:v>
                </c:pt>
                <c:pt idx="24">
                  <c:v>Brewers</c:v>
                </c:pt>
                <c:pt idx="25">
                  <c:v>Braves</c:v>
                </c:pt>
                <c:pt idx="26">
                  <c:v>Blue Jays</c:v>
                </c:pt>
                <c:pt idx="27">
                  <c:v>Athletics</c:v>
                </c:pt>
                <c:pt idx="28">
                  <c:v>Astros</c:v>
                </c:pt>
                <c:pt idx="29">
                  <c:v>Angels</c:v>
                </c:pt>
              </c:strCache>
            </c:strRef>
          </c:cat>
          <c:val>
            <c:numRef>
              <c:f>'Charts &amp; Graphs'!$B$50:$B$79</c:f>
              <c:numCache>
                <c:formatCode>General</c:formatCode>
                <c:ptCount val="3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4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5</c:v>
                </c:pt>
                <c:pt idx="22">
                  <c:v>2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3</c:v>
                </c:pt>
                <c:pt idx="2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C5-3146-814D-02D8A3427071}"/>
            </c:ext>
          </c:extLst>
        </c:ser>
        <c:ser>
          <c:idx val="1"/>
          <c:order val="1"/>
          <c:tx>
            <c:strRef>
              <c:f>'Charts &amp; Graphs'!$C$49</c:f>
              <c:strCache>
                <c:ptCount val="1"/>
                <c:pt idx="0">
                  <c:v>Successful Picks*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'Charts &amp; Graphs'!$A$50:$A$79</c:f>
              <c:strCache>
                <c:ptCount val="30"/>
                <c:pt idx="0">
                  <c:v>Yankees</c:v>
                </c:pt>
                <c:pt idx="1">
                  <c:v>White Sox</c:v>
                </c:pt>
                <c:pt idx="2">
                  <c:v>Twins</c:v>
                </c:pt>
                <c:pt idx="3">
                  <c:v>Tigers</c:v>
                </c:pt>
                <c:pt idx="4">
                  <c:v>Royals</c:v>
                </c:pt>
                <c:pt idx="5">
                  <c:v>Rockies</c:v>
                </c:pt>
                <c:pt idx="6">
                  <c:v>Reds</c:v>
                </c:pt>
                <c:pt idx="7">
                  <c:v>Red Sox</c:v>
                </c:pt>
                <c:pt idx="8">
                  <c:v>Rays</c:v>
                </c:pt>
                <c:pt idx="9">
                  <c:v>Rangers</c:v>
                </c:pt>
                <c:pt idx="10">
                  <c:v>Pirates</c:v>
                </c:pt>
                <c:pt idx="11">
                  <c:v>Phillies</c:v>
                </c:pt>
                <c:pt idx="12">
                  <c:v>Padres</c:v>
                </c:pt>
                <c:pt idx="13">
                  <c:v>Orioles </c:v>
                </c:pt>
                <c:pt idx="14">
                  <c:v>Nationals</c:v>
                </c:pt>
                <c:pt idx="15">
                  <c:v>Mets</c:v>
                </c:pt>
                <c:pt idx="16">
                  <c:v>Marlins</c:v>
                </c:pt>
                <c:pt idx="17">
                  <c:v>Mariners</c:v>
                </c:pt>
                <c:pt idx="18">
                  <c:v>Indians</c:v>
                </c:pt>
                <c:pt idx="19">
                  <c:v>Giants</c:v>
                </c:pt>
                <c:pt idx="20">
                  <c:v>Dodgers</c:v>
                </c:pt>
                <c:pt idx="21">
                  <c:v>Diamondbacks</c:v>
                </c:pt>
                <c:pt idx="22">
                  <c:v>Cubs</c:v>
                </c:pt>
                <c:pt idx="23">
                  <c:v>Cardinals</c:v>
                </c:pt>
                <c:pt idx="24">
                  <c:v>Brewers</c:v>
                </c:pt>
                <c:pt idx="25">
                  <c:v>Braves</c:v>
                </c:pt>
                <c:pt idx="26">
                  <c:v>Blue Jays</c:v>
                </c:pt>
                <c:pt idx="27">
                  <c:v>Athletics</c:v>
                </c:pt>
                <c:pt idx="28">
                  <c:v>Astros</c:v>
                </c:pt>
                <c:pt idx="29">
                  <c:v>Angels</c:v>
                </c:pt>
              </c:strCache>
            </c:strRef>
          </c:cat>
          <c:val>
            <c:numRef>
              <c:f>'Charts &amp; Graphs'!$C$50:$C$79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C5-3146-814D-02D8A3427071}"/>
            </c:ext>
          </c:extLst>
        </c:ser>
        <c:ser>
          <c:idx val="2"/>
          <c:order val="2"/>
          <c:tx>
            <c:strRef>
              <c:f>'Charts &amp; Graphs'!$D$49</c:f>
              <c:strCache>
                <c:ptCount val="1"/>
                <c:pt idx="0">
                  <c:v>Success Rate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'Charts &amp; Graphs'!$A$50:$A$79</c:f>
              <c:strCache>
                <c:ptCount val="30"/>
                <c:pt idx="0">
                  <c:v>Yankees</c:v>
                </c:pt>
                <c:pt idx="1">
                  <c:v>White Sox</c:v>
                </c:pt>
                <c:pt idx="2">
                  <c:v>Twins</c:v>
                </c:pt>
                <c:pt idx="3">
                  <c:v>Tigers</c:v>
                </c:pt>
                <c:pt idx="4">
                  <c:v>Royals</c:v>
                </c:pt>
                <c:pt idx="5">
                  <c:v>Rockies</c:v>
                </c:pt>
                <c:pt idx="6">
                  <c:v>Reds</c:v>
                </c:pt>
                <c:pt idx="7">
                  <c:v>Red Sox</c:v>
                </c:pt>
                <c:pt idx="8">
                  <c:v>Rays</c:v>
                </c:pt>
                <c:pt idx="9">
                  <c:v>Rangers</c:v>
                </c:pt>
                <c:pt idx="10">
                  <c:v>Pirates</c:v>
                </c:pt>
                <c:pt idx="11">
                  <c:v>Phillies</c:v>
                </c:pt>
                <c:pt idx="12">
                  <c:v>Padres</c:v>
                </c:pt>
                <c:pt idx="13">
                  <c:v>Orioles </c:v>
                </c:pt>
                <c:pt idx="14">
                  <c:v>Nationals</c:v>
                </c:pt>
                <c:pt idx="15">
                  <c:v>Mets</c:v>
                </c:pt>
                <c:pt idx="16">
                  <c:v>Marlins</c:v>
                </c:pt>
                <c:pt idx="17">
                  <c:v>Mariners</c:v>
                </c:pt>
                <c:pt idx="18">
                  <c:v>Indians</c:v>
                </c:pt>
                <c:pt idx="19">
                  <c:v>Giants</c:v>
                </c:pt>
                <c:pt idx="20">
                  <c:v>Dodgers</c:v>
                </c:pt>
                <c:pt idx="21">
                  <c:v>Diamondbacks</c:v>
                </c:pt>
                <c:pt idx="22">
                  <c:v>Cubs</c:v>
                </c:pt>
                <c:pt idx="23">
                  <c:v>Cardinals</c:v>
                </c:pt>
                <c:pt idx="24">
                  <c:v>Brewers</c:v>
                </c:pt>
                <c:pt idx="25">
                  <c:v>Braves</c:v>
                </c:pt>
                <c:pt idx="26">
                  <c:v>Blue Jays</c:v>
                </c:pt>
                <c:pt idx="27">
                  <c:v>Athletics</c:v>
                </c:pt>
                <c:pt idx="28">
                  <c:v>Astros</c:v>
                </c:pt>
                <c:pt idx="29">
                  <c:v>Angels</c:v>
                </c:pt>
              </c:strCache>
            </c:strRef>
          </c:cat>
          <c:val>
            <c:numRef>
              <c:f>'Charts &amp; Graphs'!$D$50:$D$79</c:f>
              <c:numCache>
                <c:formatCode>0%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0.33333333333333331</c:v>
                </c:pt>
                <c:pt idx="3">
                  <c:v>0.5</c:v>
                </c:pt>
                <c:pt idx="4">
                  <c:v>0.25</c:v>
                </c:pt>
                <c:pt idx="5">
                  <c:v>0.33333333333333331</c:v>
                </c:pt>
                <c:pt idx="6">
                  <c:v>0.33333333333333331</c:v>
                </c:pt>
                <c:pt idx="7">
                  <c:v>0.5</c:v>
                </c:pt>
                <c:pt idx="8">
                  <c:v>0</c:v>
                </c:pt>
                <c:pt idx="9">
                  <c:v>0.33333333333333331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0.5</c:v>
                </c:pt>
                <c:pt idx="16">
                  <c:v>0</c:v>
                </c:pt>
                <c:pt idx="17">
                  <c:v>0.5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0.2</c:v>
                </c:pt>
                <c:pt idx="22">
                  <c:v>0.5</c:v>
                </c:pt>
                <c:pt idx="23">
                  <c:v>0.33333333333333331</c:v>
                </c:pt>
                <c:pt idx="24">
                  <c:v>0</c:v>
                </c:pt>
                <c:pt idx="25">
                  <c:v>0.33333333333333331</c:v>
                </c:pt>
                <c:pt idx="26">
                  <c:v>0.33333333333333331</c:v>
                </c:pt>
                <c:pt idx="27">
                  <c:v>0.5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C5-3146-814D-02D8A342707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165301072"/>
        <c:axId val="1671823024"/>
        <c:axId val="0"/>
      </c:bar3DChart>
      <c:catAx>
        <c:axId val="1165301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823024"/>
        <c:crosses val="autoZero"/>
        <c:auto val="1"/>
        <c:lblAlgn val="ctr"/>
        <c:lblOffset val="100"/>
        <c:noMultiLvlLbl val="0"/>
      </c:catAx>
      <c:valAx>
        <c:axId val="1671823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30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'Charts &amp; Graphs'!$Y$1</c:f>
              <c:strCache>
                <c:ptCount val="1"/>
                <c:pt idx="0">
                  <c:v>Drafted Pitchers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438-E841-8555-D6C698F1CFF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438-E841-8555-D6C698F1CFF0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'Charts &amp; Graphs'!$X$2:$X$3</c:f>
              <c:strCache>
                <c:ptCount val="2"/>
                <c:pt idx="0">
                  <c:v>Amount of Draft Picks taken on Position</c:v>
                </c:pt>
                <c:pt idx="1">
                  <c:v>Success Count</c:v>
                </c:pt>
              </c:strCache>
            </c:strRef>
          </c:cat>
          <c:val>
            <c:numRef>
              <c:f>'Charts &amp; Graphs'!$Y$2:$Y$3</c:f>
              <c:numCache>
                <c:formatCode>General</c:formatCode>
                <c:ptCount val="2"/>
                <c:pt idx="0">
                  <c:v>35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9B-8443-8405-EB0156C325E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'Charts &amp; Graphs'!$AB$1</c:f>
              <c:strCache>
                <c:ptCount val="1"/>
                <c:pt idx="0">
                  <c:v>Position Players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C3B-2647-9FFF-27B7200679D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C3B-2647-9FFF-27B7200679DD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'Charts &amp; Graphs'!$AA$2:$AA$3</c:f>
              <c:strCache>
                <c:ptCount val="2"/>
                <c:pt idx="0">
                  <c:v>Amount of Draft Picks taken on Position</c:v>
                </c:pt>
                <c:pt idx="1">
                  <c:v>Success Count</c:v>
                </c:pt>
              </c:strCache>
            </c:strRef>
          </c:cat>
          <c:val>
            <c:numRef>
              <c:f>'Charts &amp; Graphs'!$AB$2:$AB$3</c:f>
              <c:numCache>
                <c:formatCode>General</c:formatCode>
                <c:ptCount val="2"/>
                <c:pt idx="0">
                  <c:v>47</c:v>
                </c:pt>
                <c:pt idx="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A9-9441-91A6-12BA1438BA8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1</xdr:row>
      <xdr:rowOff>114300</xdr:rowOff>
    </xdr:from>
    <xdr:to>
      <xdr:col>13</xdr:col>
      <xdr:colOff>368300</xdr:colOff>
      <xdr:row>17</xdr:row>
      <xdr:rowOff>50800</xdr:rowOff>
    </xdr:to>
    <xdr:graphicFrame macro="">
      <xdr:nvGraphicFramePr>
        <xdr:cNvPr id="2" name="Average WAR of First-Round Pitchers vs. Position Players Over Time">
          <a:extLst>
            <a:ext uri="{FF2B5EF4-FFF2-40B4-BE49-F238E27FC236}">
              <a16:creationId xmlns:a16="http://schemas.microsoft.com/office/drawing/2014/main" id="{4AA3E5C7-C9E2-BBAB-366D-AB4D389B40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3</xdr:row>
      <xdr:rowOff>165100</xdr:rowOff>
    </xdr:from>
    <xdr:to>
      <xdr:col>6</xdr:col>
      <xdr:colOff>304800</xdr:colOff>
      <xdr:row>9</xdr:row>
      <xdr:rowOff>43180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7125BD8-9B30-6FAD-80DD-8BAE3A012C11}"/>
            </a:ext>
          </a:extLst>
        </xdr:cNvPr>
        <xdr:cNvCxnSpPr>
          <a:endCxn id="2" idx="1"/>
        </xdr:cNvCxnSpPr>
      </xdr:nvCxnSpPr>
      <xdr:spPr>
        <a:xfrm>
          <a:off x="4114800" y="774700"/>
          <a:ext cx="1968500" cy="10972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27</xdr:row>
      <xdr:rowOff>101600</xdr:rowOff>
    </xdr:from>
    <xdr:to>
      <xdr:col>6</xdr:col>
      <xdr:colOff>177800</xdr:colOff>
      <xdr:row>45</xdr:row>
      <xdr:rowOff>177800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8275D7A8-191A-FCD5-7028-8CB7BC2A9E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1054100</xdr:colOff>
      <xdr:row>25</xdr:row>
      <xdr:rowOff>0</xdr:rowOff>
    </xdr:from>
    <xdr:to>
      <xdr:col>1</xdr:col>
      <xdr:colOff>76200</xdr:colOff>
      <xdr:row>36</xdr:row>
      <xdr:rowOff>139700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4E3514D-136E-5780-1EFF-3A459E67A479}"/>
            </a:ext>
          </a:extLst>
        </xdr:cNvPr>
        <xdr:cNvCxnSpPr>
          <a:endCxn id="15" idx="1"/>
        </xdr:cNvCxnSpPr>
      </xdr:nvCxnSpPr>
      <xdr:spPr>
        <a:xfrm>
          <a:off x="1054100" y="5080000"/>
          <a:ext cx="2476500" cy="2374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</xdr:colOff>
      <xdr:row>49</xdr:row>
      <xdr:rowOff>76200</xdr:rowOff>
    </xdr:from>
    <xdr:to>
      <xdr:col>19</xdr:col>
      <xdr:colOff>12700</xdr:colOff>
      <xdr:row>109</xdr:row>
      <xdr:rowOff>190500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9CCDB54E-3DD0-09CF-1A12-1C3C24EABB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25400</xdr:colOff>
      <xdr:row>63</xdr:row>
      <xdr:rowOff>177800</xdr:rowOff>
    </xdr:from>
    <xdr:to>
      <xdr:col>5</xdr:col>
      <xdr:colOff>25400</xdr:colOff>
      <xdr:row>79</xdr:row>
      <xdr:rowOff>133350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8BDB9910-4BEA-18A5-A1AE-46D90305A657}"/>
            </a:ext>
          </a:extLst>
        </xdr:cNvPr>
        <xdr:cNvCxnSpPr>
          <a:endCxn id="19" idx="1"/>
        </xdr:cNvCxnSpPr>
      </xdr:nvCxnSpPr>
      <xdr:spPr>
        <a:xfrm>
          <a:off x="7264400" y="12979400"/>
          <a:ext cx="939800" cy="32067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614714</xdr:colOff>
      <xdr:row>5</xdr:row>
      <xdr:rowOff>83608</xdr:rowOff>
    </xdr:from>
    <xdr:to>
      <xdr:col>24</xdr:col>
      <xdr:colOff>1890888</xdr:colOff>
      <xdr:row>18</xdr:row>
      <xdr:rowOff>189794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289BD116-FA84-0BAA-10F0-CFF0505C2D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362479</xdr:colOff>
      <xdr:row>5</xdr:row>
      <xdr:rowOff>99483</xdr:rowOff>
    </xdr:from>
    <xdr:to>
      <xdr:col>28</xdr:col>
      <xdr:colOff>-1</xdr:colOff>
      <xdr:row>19</xdr:row>
      <xdr:rowOff>2822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F67C516E-D49F-5F1F-BB17-783BFCCAD1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2565134</xdr:colOff>
      <xdr:row>3</xdr:row>
      <xdr:rowOff>0</xdr:rowOff>
    </xdr:from>
    <xdr:to>
      <xdr:col>24</xdr:col>
      <xdr:colOff>0</xdr:colOff>
      <xdr:row>5</xdr:row>
      <xdr:rowOff>83608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C31B8648-22FD-0537-BE45-BD7098B9E062}"/>
            </a:ext>
          </a:extLst>
        </xdr:cNvPr>
        <xdr:cNvCxnSpPr>
          <a:endCxn id="23" idx="0"/>
        </xdr:cNvCxnSpPr>
      </xdr:nvCxnSpPr>
      <xdr:spPr>
        <a:xfrm flipH="1">
          <a:off x="21855023" y="592667"/>
          <a:ext cx="59533" cy="47871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2032000</xdr:colOff>
      <xdr:row>3</xdr:row>
      <xdr:rowOff>28222</xdr:rowOff>
    </xdr:from>
    <xdr:to>
      <xdr:col>26</xdr:col>
      <xdr:colOff>2128572</xdr:colOff>
      <xdr:row>5</xdr:row>
      <xdr:rowOff>99483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39A1A8D2-2FCB-4135-4D9C-A4647D4EEC6F}"/>
            </a:ext>
          </a:extLst>
        </xdr:cNvPr>
        <xdr:cNvCxnSpPr>
          <a:endCxn id="24" idx="0"/>
        </xdr:cNvCxnSpPr>
      </xdr:nvCxnSpPr>
      <xdr:spPr>
        <a:xfrm>
          <a:off x="27798889" y="620889"/>
          <a:ext cx="96572" cy="46637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95221</xdr:rowOff>
    </xdr:to>
    <xdr:sp macro="" textlink="">
      <xdr:nvSpPr>
        <xdr:cNvPr id="8195" name="AutoShape 3">
          <a:extLst>
            <a:ext uri="{FF2B5EF4-FFF2-40B4-BE49-F238E27FC236}">
              <a16:creationId xmlns:a16="http://schemas.microsoft.com/office/drawing/2014/main" id="{548F5064-FF6A-38B7-0A2B-AD71F31BE072}"/>
            </a:ext>
          </a:extLst>
        </xdr:cNvPr>
        <xdr:cNvSpPr>
          <a:spLocks noChangeAspect="1" noChangeArrowheads="1"/>
        </xdr:cNvSpPr>
      </xdr:nvSpPr>
      <xdr:spPr bwMode="auto">
        <a:xfrm>
          <a:off x="13195300" y="580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95224</xdr:rowOff>
    </xdr:to>
    <xdr:sp macro="" textlink="">
      <xdr:nvSpPr>
        <xdr:cNvPr id="8198" name="AutoShape 6">
          <a:extLst>
            <a:ext uri="{FF2B5EF4-FFF2-40B4-BE49-F238E27FC236}">
              <a16:creationId xmlns:a16="http://schemas.microsoft.com/office/drawing/2014/main" id="{6F420A7C-4BD7-4392-A501-DD72C16AA0F4}"/>
            </a:ext>
          </a:extLst>
        </xdr:cNvPr>
        <xdr:cNvSpPr>
          <a:spLocks noChangeAspect="1" noChangeArrowheads="1"/>
        </xdr:cNvSpPr>
      </xdr:nvSpPr>
      <xdr:spPr bwMode="auto">
        <a:xfrm>
          <a:off x="13195300" y="600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95223</xdr:rowOff>
    </xdr:to>
    <xdr:sp macro="" textlink="">
      <xdr:nvSpPr>
        <xdr:cNvPr id="8201" name="AutoShape 9">
          <a:extLst>
            <a:ext uri="{FF2B5EF4-FFF2-40B4-BE49-F238E27FC236}">
              <a16:creationId xmlns:a16="http://schemas.microsoft.com/office/drawing/2014/main" id="{171FD7DE-04BA-BC84-666C-41C94977F564}"/>
            </a:ext>
          </a:extLst>
        </xdr:cNvPr>
        <xdr:cNvSpPr>
          <a:spLocks noChangeAspect="1" noChangeArrowheads="1"/>
        </xdr:cNvSpPr>
      </xdr:nvSpPr>
      <xdr:spPr bwMode="auto">
        <a:xfrm>
          <a:off x="13195300" y="62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95223</xdr:rowOff>
    </xdr:to>
    <xdr:sp macro="" textlink="">
      <xdr:nvSpPr>
        <xdr:cNvPr id="8213" name="AutoShape 21">
          <a:extLst>
            <a:ext uri="{FF2B5EF4-FFF2-40B4-BE49-F238E27FC236}">
              <a16:creationId xmlns:a16="http://schemas.microsoft.com/office/drawing/2014/main" id="{476A684A-73E7-5F42-5B69-1575843D88EB}"/>
            </a:ext>
          </a:extLst>
        </xdr:cNvPr>
        <xdr:cNvSpPr>
          <a:spLocks noChangeAspect="1" noChangeArrowheads="1"/>
        </xdr:cNvSpPr>
      </xdr:nvSpPr>
      <xdr:spPr bwMode="auto">
        <a:xfrm>
          <a:off x="13195300" y="70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95223</xdr:rowOff>
    </xdr:to>
    <xdr:sp macro="" textlink="">
      <xdr:nvSpPr>
        <xdr:cNvPr id="8216" name="AutoShape 24">
          <a:extLst>
            <a:ext uri="{FF2B5EF4-FFF2-40B4-BE49-F238E27FC236}">
              <a16:creationId xmlns:a16="http://schemas.microsoft.com/office/drawing/2014/main" id="{75DEDAEE-9536-C1B5-291C-E4DE1C971583}"/>
            </a:ext>
          </a:extLst>
        </xdr:cNvPr>
        <xdr:cNvSpPr>
          <a:spLocks noChangeAspect="1" noChangeArrowheads="1"/>
        </xdr:cNvSpPr>
      </xdr:nvSpPr>
      <xdr:spPr bwMode="auto">
        <a:xfrm>
          <a:off x="131953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95225</xdr:rowOff>
    </xdr:to>
    <xdr:sp macro="" textlink="">
      <xdr:nvSpPr>
        <xdr:cNvPr id="8219" name="AutoShape 27">
          <a:extLst>
            <a:ext uri="{FF2B5EF4-FFF2-40B4-BE49-F238E27FC236}">
              <a16:creationId xmlns:a16="http://schemas.microsoft.com/office/drawing/2014/main" id="{BD04C853-9387-EBD7-6E46-DB28239ABF57}"/>
            </a:ext>
          </a:extLst>
        </xdr:cNvPr>
        <xdr:cNvSpPr>
          <a:spLocks noChangeAspect="1" noChangeArrowheads="1"/>
        </xdr:cNvSpPr>
      </xdr:nvSpPr>
      <xdr:spPr bwMode="auto">
        <a:xfrm>
          <a:off x="1319530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49</xdr:row>
      <xdr:rowOff>0</xdr:rowOff>
    </xdr:from>
    <xdr:to>
      <xdr:col>13</xdr:col>
      <xdr:colOff>304800</xdr:colOff>
      <xdr:row>50</xdr:row>
      <xdr:rowOff>101598</xdr:rowOff>
    </xdr:to>
    <xdr:sp macro="" textlink="">
      <xdr:nvSpPr>
        <xdr:cNvPr id="8255" name="AutoShape 63">
          <a:extLst>
            <a:ext uri="{FF2B5EF4-FFF2-40B4-BE49-F238E27FC236}">
              <a16:creationId xmlns:a16="http://schemas.microsoft.com/office/drawing/2014/main" id="{570D83A4-1285-C397-8FBD-77130D2C696B}"/>
            </a:ext>
          </a:extLst>
        </xdr:cNvPr>
        <xdr:cNvSpPr>
          <a:spLocks noChangeAspect="1" noChangeArrowheads="1"/>
        </xdr:cNvSpPr>
      </xdr:nvSpPr>
      <xdr:spPr bwMode="auto">
        <a:xfrm>
          <a:off x="131953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50</xdr:row>
      <xdr:rowOff>0</xdr:rowOff>
    </xdr:from>
    <xdr:to>
      <xdr:col>13</xdr:col>
      <xdr:colOff>304800</xdr:colOff>
      <xdr:row>51</xdr:row>
      <xdr:rowOff>101599</xdr:rowOff>
    </xdr:to>
    <xdr:sp macro="" textlink="">
      <xdr:nvSpPr>
        <xdr:cNvPr id="8258" name="AutoShape 66">
          <a:extLst>
            <a:ext uri="{FF2B5EF4-FFF2-40B4-BE49-F238E27FC236}">
              <a16:creationId xmlns:a16="http://schemas.microsoft.com/office/drawing/2014/main" id="{51E7E180-3D41-59A0-A7F2-E1FBFEFA9A06}"/>
            </a:ext>
          </a:extLst>
        </xdr:cNvPr>
        <xdr:cNvSpPr>
          <a:spLocks noChangeAspect="1" noChangeArrowheads="1"/>
        </xdr:cNvSpPr>
      </xdr:nvSpPr>
      <xdr:spPr bwMode="auto">
        <a:xfrm>
          <a:off x="13195300" y="1007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53</xdr:row>
      <xdr:rowOff>0</xdr:rowOff>
    </xdr:from>
    <xdr:to>
      <xdr:col>13</xdr:col>
      <xdr:colOff>304800</xdr:colOff>
      <xdr:row>54</xdr:row>
      <xdr:rowOff>101600</xdr:rowOff>
    </xdr:to>
    <xdr:sp macro="" textlink="">
      <xdr:nvSpPr>
        <xdr:cNvPr id="8276" name="AutoShape 84">
          <a:extLst>
            <a:ext uri="{FF2B5EF4-FFF2-40B4-BE49-F238E27FC236}">
              <a16:creationId xmlns:a16="http://schemas.microsoft.com/office/drawing/2014/main" id="{5C711359-D791-FA5B-ED5F-C12C8BB425C6}"/>
            </a:ext>
          </a:extLst>
        </xdr:cNvPr>
        <xdr:cNvSpPr>
          <a:spLocks noChangeAspect="1" noChangeArrowheads="1"/>
        </xdr:cNvSpPr>
      </xdr:nvSpPr>
      <xdr:spPr bwMode="auto">
        <a:xfrm>
          <a:off x="13195300" y="112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59</xdr:row>
      <xdr:rowOff>0</xdr:rowOff>
    </xdr:from>
    <xdr:to>
      <xdr:col>13</xdr:col>
      <xdr:colOff>304800</xdr:colOff>
      <xdr:row>60</xdr:row>
      <xdr:rowOff>101599</xdr:rowOff>
    </xdr:to>
    <xdr:sp macro="" textlink="">
      <xdr:nvSpPr>
        <xdr:cNvPr id="8294" name="AutoShape 102">
          <a:extLst>
            <a:ext uri="{FF2B5EF4-FFF2-40B4-BE49-F238E27FC236}">
              <a16:creationId xmlns:a16="http://schemas.microsoft.com/office/drawing/2014/main" id="{070974E5-CB0A-CF4B-1240-48E4FA5671C9}"/>
            </a:ext>
          </a:extLst>
        </xdr:cNvPr>
        <xdr:cNvSpPr>
          <a:spLocks noChangeAspect="1" noChangeArrowheads="1"/>
        </xdr:cNvSpPr>
      </xdr:nvSpPr>
      <xdr:spPr bwMode="auto">
        <a:xfrm>
          <a:off x="13195300" y="125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61</xdr:row>
      <xdr:rowOff>0</xdr:rowOff>
    </xdr:from>
    <xdr:to>
      <xdr:col>13</xdr:col>
      <xdr:colOff>304800</xdr:colOff>
      <xdr:row>62</xdr:row>
      <xdr:rowOff>101601</xdr:rowOff>
    </xdr:to>
    <xdr:sp macro="" textlink="">
      <xdr:nvSpPr>
        <xdr:cNvPr id="8300" name="AutoShape 108">
          <a:extLst>
            <a:ext uri="{FF2B5EF4-FFF2-40B4-BE49-F238E27FC236}">
              <a16:creationId xmlns:a16="http://schemas.microsoft.com/office/drawing/2014/main" id="{85D66237-CAE7-159F-1974-EF037416D835}"/>
            </a:ext>
          </a:extLst>
        </xdr:cNvPr>
        <xdr:cNvSpPr>
          <a:spLocks noChangeAspect="1" noChangeArrowheads="1"/>
        </xdr:cNvSpPr>
      </xdr:nvSpPr>
      <xdr:spPr bwMode="auto">
        <a:xfrm>
          <a:off x="13195300" y="129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32</xdr:row>
      <xdr:rowOff>0</xdr:rowOff>
    </xdr:from>
    <xdr:ext cx="304800" cy="297881"/>
    <xdr:sp macro="" textlink="">
      <xdr:nvSpPr>
        <xdr:cNvPr id="39" name="AutoShape 3">
          <a:extLst>
            <a:ext uri="{FF2B5EF4-FFF2-40B4-BE49-F238E27FC236}">
              <a16:creationId xmlns:a16="http://schemas.microsoft.com/office/drawing/2014/main" id="{76ED2FF8-8327-A343-996C-D1583A4CC7E0}"/>
            </a:ext>
          </a:extLst>
        </xdr:cNvPr>
        <xdr:cNvSpPr>
          <a:spLocks noChangeAspect="1" noChangeArrowheads="1"/>
        </xdr:cNvSpPr>
      </xdr:nvSpPr>
      <xdr:spPr bwMode="auto">
        <a:xfrm>
          <a:off x="3431702" y="8862979"/>
          <a:ext cx="304800" cy="297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34</xdr:row>
      <xdr:rowOff>0</xdr:rowOff>
    </xdr:from>
    <xdr:ext cx="304800" cy="297881"/>
    <xdr:sp macro="" textlink="">
      <xdr:nvSpPr>
        <xdr:cNvPr id="40" name="AutoShape 3">
          <a:extLst>
            <a:ext uri="{FF2B5EF4-FFF2-40B4-BE49-F238E27FC236}">
              <a16:creationId xmlns:a16="http://schemas.microsoft.com/office/drawing/2014/main" id="{810519C3-8EBF-814B-B634-F85227F69F35}"/>
            </a:ext>
          </a:extLst>
        </xdr:cNvPr>
        <xdr:cNvSpPr>
          <a:spLocks noChangeAspect="1" noChangeArrowheads="1"/>
        </xdr:cNvSpPr>
      </xdr:nvSpPr>
      <xdr:spPr bwMode="auto">
        <a:xfrm>
          <a:off x="3431702" y="8862979"/>
          <a:ext cx="304800" cy="297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35</xdr:row>
      <xdr:rowOff>0</xdr:rowOff>
    </xdr:from>
    <xdr:ext cx="304800" cy="297883"/>
    <xdr:sp macro="" textlink="">
      <xdr:nvSpPr>
        <xdr:cNvPr id="41" name="AutoShape 6">
          <a:extLst>
            <a:ext uri="{FF2B5EF4-FFF2-40B4-BE49-F238E27FC236}">
              <a16:creationId xmlns:a16="http://schemas.microsoft.com/office/drawing/2014/main" id="{40E4EBCA-6C8A-214B-840E-076690515E94}"/>
            </a:ext>
          </a:extLst>
        </xdr:cNvPr>
        <xdr:cNvSpPr>
          <a:spLocks noChangeAspect="1" noChangeArrowheads="1"/>
        </xdr:cNvSpPr>
      </xdr:nvSpPr>
      <xdr:spPr bwMode="auto">
        <a:xfrm>
          <a:off x="3431702" y="9065638"/>
          <a:ext cx="304800" cy="2978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35</xdr:row>
      <xdr:rowOff>0</xdr:rowOff>
    </xdr:from>
    <xdr:ext cx="304800" cy="297883"/>
    <xdr:sp macro="" textlink="">
      <xdr:nvSpPr>
        <xdr:cNvPr id="42" name="AutoShape 6">
          <a:extLst>
            <a:ext uri="{FF2B5EF4-FFF2-40B4-BE49-F238E27FC236}">
              <a16:creationId xmlns:a16="http://schemas.microsoft.com/office/drawing/2014/main" id="{607C2AF7-57FF-5A4A-8ECD-A0083A7DF8D3}"/>
            </a:ext>
          </a:extLst>
        </xdr:cNvPr>
        <xdr:cNvSpPr>
          <a:spLocks noChangeAspect="1" noChangeArrowheads="1"/>
        </xdr:cNvSpPr>
      </xdr:nvSpPr>
      <xdr:spPr bwMode="auto">
        <a:xfrm>
          <a:off x="3431702" y="9065638"/>
          <a:ext cx="304800" cy="2978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36</xdr:row>
      <xdr:rowOff>0</xdr:rowOff>
    </xdr:from>
    <xdr:ext cx="304800" cy="297883"/>
    <xdr:sp macro="" textlink="">
      <xdr:nvSpPr>
        <xdr:cNvPr id="43" name="AutoShape 9">
          <a:extLst>
            <a:ext uri="{FF2B5EF4-FFF2-40B4-BE49-F238E27FC236}">
              <a16:creationId xmlns:a16="http://schemas.microsoft.com/office/drawing/2014/main" id="{1D4AF9AC-F59D-DD45-954A-31E38357948C}"/>
            </a:ext>
          </a:extLst>
        </xdr:cNvPr>
        <xdr:cNvSpPr>
          <a:spLocks noChangeAspect="1" noChangeArrowheads="1"/>
        </xdr:cNvSpPr>
      </xdr:nvSpPr>
      <xdr:spPr bwMode="auto">
        <a:xfrm>
          <a:off x="3431702" y="9268298"/>
          <a:ext cx="304800" cy="2978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39</xdr:row>
      <xdr:rowOff>0</xdr:rowOff>
    </xdr:from>
    <xdr:ext cx="304800" cy="297883"/>
    <xdr:sp macro="" textlink="">
      <xdr:nvSpPr>
        <xdr:cNvPr id="44" name="AutoShape 21">
          <a:extLst>
            <a:ext uri="{FF2B5EF4-FFF2-40B4-BE49-F238E27FC236}">
              <a16:creationId xmlns:a16="http://schemas.microsoft.com/office/drawing/2014/main" id="{32D9246B-B45A-5A42-8FEB-65F64107776D}"/>
            </a:ext>
          </a:extLst>
        </xdr:cNvPr>
        <xdr:cNvSpPr>
          <a:spLocks noChangeAspect="1" noChangeArrowheads="1"/>
        </xdr:cNvSpPr>
      </xdr:nvSpPr>
      <xdr:spPr bwMode="auto">
        <a:xfrm>
          <a:off x="3431702" y="9876277"/>
          <a:ext cx="304800" cy="2978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44</xdr:row>
      <xdr:rowOff>0</xdr:rowOff>
    </xdr:from>
    <xdr:ext cx="304800" cy="297882"/>
    <xdr:sp macro="" textlink="">
      <xdr:nvSpPr>
        <xdr:cNvPr id="45" name="AutoShape 24">
          <a:extLst>
            <a:ext uri="{FF2B5EF4-FFF2-40B4-BE49-F238E27FC236}">
              <a16:creationId xmlns:a16="http://schemas.microsoft.com/office/drawing/2014/main" id="{374EA3CC-1AE3-D349-B938-F9CD44972F62}"/>
            </a:ext>
          </a:extLst>
        </xdr:cNvPr>
        <xdr:cNvSpPr>
          <a:spLocks noChangeAspect="1" noChangeArrowheads="1"/>
        </xdr:cNvSpPr>
      </xdr:nvSpPr>
      <xdr:spPr bwMode="auto">
        <a:xfrm>
          <a:off x="3431702" y="10281596"/>
          <a:ext cx="304800" cy="2978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45</xdr:row>
      <xdr:rowOff>0</xdr:rowOff>
    </xdr:from>
    <xdr:ext cx="304800" cy="297885"/>
    <xdr:sp macro="" textlink="">
      <xdr:nvSpPr>
        <xdr:cNvPr id="46" name="AutoShape 27">
          <a:extLst>
            <a:ext uri="{FF2B5EF4-FFF2-40B4-BE49-F238E27FC236}">
              <a16:creationId xmlns:a16="http://schemas.microsoft.com/office/drawing/2014/main" id="{88FB9374-C631-A840-B9D8-FA1378FF5AC7}"/>
            </a:ext>
          </a:extLst>
        </xdr:cNvPr>
        <xdr:cNvSpPr>
          <a:spLocks noChangeAspect="1" noChangeArrowheads="1"/>
        </xdr:cNvSpPr>
      </xdr:nvSpPr>
      <xdr:spPr bwMode="auto">
        <a:xfrm>
          <a:off x="3431702" y="10484255"/>
          <a:ext cx="304800" cy="297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44</xdr:row>
      <xdr:rowOff>0</xdr:rowOff>
    </xdr:from>
    <xdr:ext cx="304800" cy="297882"/>
    <xdr:sp macro="" textlink="">
      <xdr:nvSpPr>
        <xdr:cNvPr id="47" name="AutoShape 24">
          <a:extLst>
            <a:ext uri="{FF2B5EF4-FFF2-40B4-BE49-F238E27FC236}">
              <a16:creationId xmlns:a16="http://schemas.microsoft.com/office/drawing/2014/main" id="{601E3C83-4A67-CB4D-9285-8D1B4678EC5A}"/>
            </a:ext>
          </a:extLst>
        </xdr:cNvPr>
        <xdr:cNvSpPr>
          <a:spLocks noChangeAspect="1" noChangeArrowheads="1"/>
        </xdr:cNvSpPr>
      </xdr:nvSpPr>
      <xdr:spPr bwMode="auto">
        <a:xfrm>
          <a:off x="3431702" y="10484255"/>
          <a:ext cx="304800" cy="2978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95222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4BD45D4E-733F-A643-AF8A-8833285FF987}"/>
            </a:ext>
          </a:extLst>
        </xdr:cNvPr>
        <xdr:cNvSpPr>
          <a:spLocks noChangeAspect="1" noChangeArrowheads="1"/>
        </xdr:cNvSpPr>
      </xdr:nvSpPr>
      <xdr:spPr bwMode="auto">
        <a:xfrm>
          <a:off x="3429000" y="9271000"/>
          <a:ext cx="304800" cy="2984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95223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38592611-0621-B14B-9D19-DFBC49A5D2A7}"/>
            </a:ext>
          </a:extLst>
        </xdr:cNvPr>
        <xdr:cNvSpPr>
          <a:spLocks noChangeAspect="1" noChangeArrowheads="1"/>
        </xdr:cNvSpPr>
      </xdr:nvSpPr>
      <xdr:spPr bwMode="auto">
        <a:xfrm>
          <a:off x="3429000" y="9474200"/>
          <a:ext cx="304800" cy="298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95223</xdr:rowOff>
    </xdr:to>
    <xdr:sp macro="" textlink="">
      <xdr:nvSpPr>
        <xdr:cNvPr id="4" name="AutoShape 9">
          <a:extLst>
            <a:ext uri="{FF2B5EF4-FFF2-40B4-BE49-F238E27FC236}">
              <a16:creationId xmlns:a16="http://schemas.microsoft.com/office/drawing/2014/main" id="{29E8E7C6-1E2B-F445-BCB8-EA38C7B796D8}"/>
            </a:ext>
          </a:extLst>
        </xdr:cNvPr>
        <xdr:cNvSpPr>
          <a:spLocks noChangeAspect="1" noChangeArrowheads="1"/>
        </xdr:cNvSpPr>
      </xdr:nvSpPr>
      <xdr:spPr bwMode="auto">
        <a:xfrm>
          <a:off x="3429000" y="9677400"/>
          <a:ext cx="304800" cy="2984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95223</xdr:rowOff>
    </xdr:to>
    <xdr:sp macro="" textlink="">
      <xdr:nvSpPr>
        <xdr:cNvPr id="5" name="AutoShape 21">
          <a:extLst>
            <a:ext uri="{FF2B5EF4-FFF2-40B4-BE49-F238E27FC236}">
              <a16:creationId xmlns:a16="http://schemas.microsoft.com/office/drawing/2014/main" id="{1F56B1C8-1A05-3A48-8B30-0BBA21DC4E84}"/>
            </a:ext>
          </a:extLst>
        </xdr:cNvPr>
        <xdr:cNvSpPr>
          <a:spLocks noChangeAspect="1" noChangeArrowheads="1"/>
        </xdr:cNvSpPr>
      </xdr:nvSpPr>
      <xdr:spPr bwMode="auto">
        <a:xfrm>
          <a:off x="3429000" y="10287000"/>
          <a:ext cx="304800" cy="2984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95226</xdr:rowOff>
    </xdr:to>
    <xdr:sp macro="" textlink="">
      <xdr:nvSpPr>
        <xdr:cNvPr id="6" name="AutoShape 24">
          <a:extLst>
            <a:ext uri="{FF2B5EF4-FFF2-40B4-BE49-F238E27FC236}">
              <a16:creationId xmlns:a16="http://schemas.microsoft.com/office/drawing/2014/main" id="{B3908A20-051E-2040-867F-D5C9B6D0A0F6}"/>
            </a:ext>
          </a:extLst>
        </xdr:cNvPr>
        <xdr:cNvSpPr>
          <a:spLocks noChangeAspect="1" noChangeArrowheads="1"/>
        </xdr:cNvSpPr>
      </xdr:nvSpPr>
      <xdr:spPr bwMode="auto">
        <a:xfrm>
          <a:off x="3429000" y="10896600"/>
          <a:ext cx="304800" cy="2984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95223</xdr:rowOff>
    </xdr:to>
    <xdr:sp macro="" textlink="">
      <xdr:nvSpPr>
        <xdr:cNvPr id="7" name="AutoShape 27">
          <a:extLst>
            <a:ext uri="{FF2B5EF4-FFF2-40B4-BE49-F238E27FC236}">
              <a16:creationId xmlns:a16="http://schemas.microsoft.com/office/drawing/2014/main" id="{3B67AF87-D9F1-3944-BCF4-E347BBFF4F81}"/>
            </a:ext>
          </a:extLst>
        </xdr:cNvPr>
        <xdr:cNvSpPr>
          <a:spLocks noChangeAspect="1" noChangeArrowheads="1"/>
        </xdr:cNvSpPr>
      </xdr:nvSpPr>
      <xdr:spPr bwMode="auto">
        <a:xfrm>
          <a:off x="3429000" y="11099800"/>
          <a:ext cx="304800" cy="298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5</xdr:row>
      <xdr:rowOff>0</xdr:rowOff>
    </xdr:from>
    <xdr:to>
      <xdr:col>26</xdr:col>
      <xdr:colOff>304800</xdr:colOff>
      <xdr:row>5</xdr:row>
      <xdr:rowOff>304800</xdr:rowOff>
    </xdr:to>
    <xdr:sp macro="" textlink="">
      <xdr:nvSpPr>
        <xdr:cNvPr id="9219" name="AutoShape 3">
          <a:extLst>
            <a:ext uri="{FF2B5EF4-FFF2-40B4-BE49-F238E27FC236}">
              <a16:creationId xmlns:a16="http://schemas.microsoft.com/office/drawing/2014/main" id="{6AE12948-6943-640A-5EEC-8C68B6EA16ED}"/>
            </a:ext>
          </a:extLst>
        </xdr:cNvPr>
        <xdr:cNvSpPr>
          <a:spLocks noChangeAspect="1" noChangeArrowheads="1"/>
        </xdr:cNvSpPr>
      </xdr:nvSpPr>
      <xdr:spPr bwMode="auto">
        <a:xfrm>
          <a:off x="21463000" y="14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6</xdr:row>
      <xdr:rowOff>0</xdr:rowOff>
    </xdr:from>
    <xdr:to>
      <xdr:col>26</xdr:col>
      <xdr:colOff>304800</xdr:colOff>
      <xdr:row>7</xdr:row>
      <xdr:rowOff>101601</xdr:rowOff>
    </xdr:to>
    <xdr:sp macro="" textlink="">
      <xdr:nvSpPr>
        <xdr:cNvPr id="9222" name="AutoShape 6">
          <a:extLst>
            <a:ext uri="{FF2B5EF4-FFF2-40B4-BE49-F238E27FC236}">
              <a16:creationId xmlns:a16="http://schemas.microsoft.com/office/drawing/2014/main" id="{DE9AD3B5-683A-28F5-962D-20A11E8D1FC2}"/>
            </a:ext>
          </a:extLst>
        </xdr:cNvPr>
        <xdr:cNvSpPr>
          <a:spLocks noChangeAspect="1" noChangeArrowheads="1"/>
        </xdr:cNvSpPr>
      </xdr:nvSpPr>
      <xdr:spPr bwMode="auto">
        <a:xfrm>
          <a:off x="21463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7</xdr:row>
      <xdr:rowOff>0</xdr:rowOff>
    </xdr:from>
    <xdr:to>
      <xdr:col>26</xdr:col>
      <xdr:colOff>304800</xdr:colOff>
      <xdr:row>8</xdr:row>
      <xdr:rowOff>101600</xdr:rowOff>
    </xdr:to>
    <xdr:sp macro="" textlink="">
      <xdr:nvSpPr>
        <xdr:cNvPr id="9225" name="AutoShape 9">
          <a:extLst>
            <a:ext uri="{FF2B5EF4-FFF2-40B4-BE49-F238E27FC236}">
              <a16:creationId xmlns:a16="http://schemas.microsoft.com/office/drawing/2014/main" id="{C3D0DCDC-3793-44D7-11CF-830B46891420}"/>
            </a:ext>
          </a:extLst>
        </xdr:cNvPr>
        <xdr:cNvSpPr>
          <a:spLocks noChangeAspect="1" noChangeArrowheads="1"/>
        </xdr:cNvSpPr>
      </xdr:nvSpPr>
      <xdr:spPr bwMode="auto">
        <a:xfrm>
          <a:off x="21463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8</xdr:row>
      <xdr:rowOff>0</xdr:rowOff>
    </xdr:from>
    <xdr:to>
      <xdr:col>26</xdr:col>
      <xdr:colOff>304800</xdr:colOff>
      <xdr:row>9</xdr:row>
      <xdr:rowOff>102336</xdr:rowOff>
    </xdr:to>
    <xdr:sp macro="" textlink="">
      <xdr:nvSpPr>
        <xdr:cNvPr id="9228" name="AutoShape 12">
          <a:extLst>
            <a:ext uri="{FF2B5EF4-FFF2-40B4-BE49-F238E27FC236}">
              <a16:creationId xmlns:a16="http://schemas.microsoft.com/office/drawing/2014/main" id="{DF93B3CE-7039-1A77-148E-F053ABF52EFF}"/>
            </a:ext>
          </a:extLst>
        </xdr:cNvPr>
        <xdr:cNvSpPr>
          <a:spLocks noChangeAspect="1" noChangeArrowheads="1"/>
        </xdr:cNvSpPr>
      </xdr:nvSpPr>
      <xdr:spPr bwMode="auto">
        <a:xfrm>
          <a:off x="21463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9</xdr:row>
      <xdr:rowOff>0</xdr:rowOff>
    </xdr:from>
    <xdr:to>
      <xdr:col>26</xdr:col>
      <xdr:colOff>304800</xdr:colOff>
      <xdr:row>9</xdr:row>
      <xdr:rowOff>304063</xdr:rowOff>
    </xdr:to>
    <xdr:sp macro="" textlink="">
      <xdr:nvSpPr>
        <xdr:cNvPr id="9231" name="AutoShape 15">
          <a:extLst>
            <a:ext uri="{FF2B5EF4-FFF2-40B4-BE49-F238E27FC236}">
              <a16:creationId xmlns:a16="http://schemas.microsoft.com/office/drawing/2014/main" id="{30CFDD33-E01A-A3E5-9FD8-44887F383B9C}"/>
            </a:ext>
          </a:extLst>
        </xdr:cNvPr>
        <xdr:cNvSpPr>
          <a:spLocks noChangeAspect="1" noChangeArrowheads="1"/>
        </xdr:cNvSpPr>
      </xdr:nvSpPr>
      <xdr:spPr bwMode="auto">
        <a:xfrm>
          <a:off x="21463000" y="26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10</xdr:row>
      <xdr:rowOff>0</xdr:rowOff>
    </xdr:from>
    <xdr:to>
      <xdr:col>26</xdr:col>
      <xdr:colOff>304800</xdr:colOff>
      <xdr:row>10</xdr:row>
      <xdr:rowOff>304800</xdr:rowOff>
    </xdr:to>
    <xdr:sp macro="" textlink="">
      <xdr:nvSpPr>
        <xdr:cNvPr id="9234" name="AutoShape 18">
          <a:extLst>
            <a:ext uri="{FF2B5EF4-FFF2-40B4-BE49-F238E27FC236}">
              <a16:creationId xmlns:a16="http://schemas.microsoft.com/office/drawing/2014/main" id="{A0A45E4B-6EE0-D2B8-C756-DFA31A40E8BB}"/>
            </a:ext>
          </a:extLst>
        </xdr:cNvPr>
        <xdr:cNvSpPr>
          <a:spLocks noChangeAspect="1" noChangeArrowheads="1"/>
        </xdr:cNvSpPr>
      </xdr:nvSpPr>
      <xdr:spPr bwMode="auto">
        <a:xfrm>
          <a:off x="21463000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11</xdr:row>
      <xdr:rowOff>0</xdr:rowOff>
    </xdr:from>
    <xdr:to>
      <xdr:col>26</xdr:col>
      <xdr:colOff>304800</xdr:colOff>
      <xdr:row>11</xdr:row>
      <xdr:rowOff>304063</xdr:rowOff>
    </xdr:to>
    <xdr:sp macro="" textlink="">
      <xdr:nvSpPr>
        <xdr:cNvPr id="9237" name="AutoShape 21">
          <a:extLst>
            <a:ext uri="{FF2B5EF4-FFF2-40B4-BE49-F238E27FC236}">
              <a16:creationId xmlns:a16="http://schemas.microsoft.com/office/drawing/2014/main" id="{8C9C7CAD-FF24-FDFB-82E7-A19AA9AD39DE}"/>
            </a:ext>
          </a:extLst>
        </xdr:cNvPr>
        <xdr:cNvSpPr>
          <a:spLocks noChangeAspect="1" noChangeArrowheads="1"/>
        </xdr:cNvSpPr>
      </xdr:nvSpPr>
      <xdr:spPr bwMode="auto">
        <a:xfrm>
          <a:off x="21463000" y="320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12</xdr:row>
      <xdr:rowOff>0</xdr:rowOff>
    </xdr:from>
    <xdr:to>
      <xdr:col>26</xdr:col>
      <xdr:colOff>304800</xdr:colOff>
      <xdr:row>13</xdr:row>
      <xdr:rowOff>101600</xdr:rowOff>
    </xdr:to>
    <xdr:sp macro="" textlink="">
      <xdr:nvSpPr>
        <xdr:cNvPr id="9240" name="AutoShape 24">
          <a:extLst>
            <a:ext uri="{FF2B5EF4-FFF2-40B4-BE49-F238E27FC236}">
              <a16:creationId xmlns:a16="http://schemas.microsoft.com/office/drawing/2014/main" id="{C0CC0987-68E9-2598-A884-84B0B8063AA0}"/>
            </a:ext>
          </a:extLst>
        </xdr:cNvPr>
        <xdr:cNvSpPr>
          <a:spLocks noChangeAspect="1" noChangeArrowheads="1"/>
        </xdr:cNvSpPr>
      </xdr:nvSpPr>
      <xdr:spPr bwMode="auto">
        <a:xfrm>
          <a:off x="21463000" y="34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13</xdr:row>
      <xdr:rowOff>0</xdr:rowOff>
    </xdr:from>
    <xdr:to>
      <xdr:col>26</xdr:col>
      <xdr:colOff>304800</xdr:colOff>
      <xdr:row>13</xdr:row>
      <xdr:rowOff>304063</xdr:rowOff>
    </xdr:to>
    <xdr:sp macro="" textlink="">
      <xdr:nvSpPr>
        <xdr:cNvPr id="9243" name="AutoShape 27">
          <a:extLst>
            <a:ext uri="{FF2B5EF4-FFF2-40B4-BE49-F238E27FC236}">
              <a16:creationId xmlns:a16="http://schemas.microsoft.com/office/drawing/2014/main" id="{0400D588-A30A-A9A6-B3A9-D0B5891D3C2A}"/>
            </a:ext>
          </a:extLst>
        </xdr:cNvPr>
        <xdr:cNvSpPr>
          <a:spLocks noChangeAspect="1" noChangeArrowheads="1"/>
        </xdr:cNvSpPr>
      </xdr:nvSpPr>
      <xdr:spPr bwMode="auto">
        <a:xfrm>
          <a:off x="21463000" y="36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14</xdr:row>
      <xdr:rowOff>0</xdr:rowOff>
    </xdr:from>
    <xdr:to>
      <xdr:col>26</xdr:col>
      <xdr:colOff>304800</xdr:colOff>
      <xdr:row>14</xdr:row>
      <xdr:rowOff>304065</xdr:rowOff>
    </xdr:to>
    <xdr:sp macro="" textlink="">
      <xdr:nvSpPr>
        <xdr:cNvPr id="9246" name="AutoShape 30">
          <a:extLst>
            <a:ext uri="{FF2B5EF4-FFF2-40B4-BE49-F238E27FC236}">
              <a16:creationId xmlns:a16="http://schemas.microsoft.com/office/drawing/2014/main" id="{84BC2B94-4D71-47BF-FC1D-BE66A20FB3A4}"/>
            </a:ext>
          </a:extLst>
        </xdr:cNvPr>
        <xdr:cNvSpPr>
          <a:spLocks noChangeAspect="1" noChangeArrowheads="1"/>
        </xdr:cNvSpPr>
      </xdr:nvSpPr>
      <xdr:spPr bwMode="auto">
        <a:xfrm>
          <a:off x="214630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15</xdr:row>
      <xdr:rowOff>0</xdr:rowOff>
    </xdr:from>
    <xdr:to>
      <xdr:col>26</xdr:col>
      <xdr:colOff>304800</xdr:colOff>
      <xdr:row>15</xdr:row>
      <xdr:rowOff>301486</xdr:rowOff>
    </xdr:to>
    <xdr:sp macro="" textlink="">
      <xdr:nvSpPr>
        <xdr:cNvPr id="9249" name="AutoShape 33">
          <a:extLst>
            <a:ext uri="{FF2B5EF4-FFF2-40B4-BE49-F238E27FC236}">
              <a16:creationId xmlns:a16="http://schemas.microsoft.com/office/drawing/2014/main" id="{7793400B-31E4-1CB1-AF34-3C6751009C93}"/>
            </a:ext>
          </a:extLst>
        </xdr:cNvPr>
        <xdr:cNvSpPr>
          <a:spLocks noChangeAspect="1" noChangeArrowheads="1"/>
        </xdr:cNvSpPr>
      </xdr:nvSpPr>
      <xdr:spPr bwMode="auto">
        <a:xfrm>
          <a:off x="21463000" y="401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16</xdr:row>
      <xdr:rowOff>0</xdr:rowOff>
    </xdr:from>
    <xdr:to>
      <xdr:col>26</xdr:col>
      <xdr:colOff>304800</xdr:colOff>
      <xdr:row>17</xdr:row>
      <xdr:rowOff>102336</xdr:rowOff>
    </xdr:to>
    <xdr:sp macro="" textlink="">
      <xdr:nvSpPr>
        <xdr:cNvPr id="9252" name="AutoShape 36">
          <a:extLst>
            <a:ext uri="{FF2B5EF4-FFF2-40B4-BE49-F238E27FC236}">
              <a16:creationId xmlns:a16="http://schemas.microsoft.com/office/drawing/2014/main" id="{654EF2D3-3DB8-9F41-62EC-9D0E95307E12}"/>
            </a:ext>
          </a:extLst>
        </xdr:cNvPr>
        <xdr:cNvSpPr>
          <a:spLocks noChangeAspect="1" noChangeArrowheads="1"/>
        </xdr:cNvSpPr>
      </xdr:nvSpPr>
      <xdr:spPr bwMode="auto">
        <a:xfrm>
          <a:off x="21463000" y="42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17</xdr:row>
      <xdr:rowOff>0</xdr:rowOff>
    </xdr:from>
    <xdr:to>
      <xdr:col>26</xdr:col>
      <xdr:colOff>304800</xdr:colOff>
      <xdr:row>18</xdr:row>
      <xdr:rowOff>101601</xdr:rowOff>
    </xdr:to>
    <xdr:sp macro="" textlink="">
      <xdr:nvSpPr>
        <xdr:cNvPr id="9255" name="AutoShape 39">
          <a:extLst>
            <a:ext uri="{FF2B5EF4-FFF2-40B4-BE49-F238E27FC236}">
              <a16:creationId xmlns:a16="http://schemas.microsoft.com/office/drawing/2014/main" id="{64B5225B-2141-022D-4CBE-FC8A5C767D33}"/>
            </a:ext>
          </a:extLst>
        </xdr:cNvPr>
        <xdr:cNvSpPr>
          <a:spLocks noChangeAspect="1" noChangeArrowheads="1"/>
        </xdr:cNvSpPr>
      </xdr:nvSpPr>
      <xdr:spPr bwMode="auto">
        <a:xfrm>
          <a:off x="214630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18</xdr:row>
      <xdr:rowOff>0</xdr:rowOff>
    </xdr:from>
    <xdr:to>
      <xdr:col>26</xdr:col>
      <xdr:colOff>304800</xdr:colOff>
      <xdr:row>19</xdr:row>
      <xdr:rowOff>101600</xdr:rowOff>
    </xdr:to>
    <xdr:sp macro="" textlink="">
      <xdr:nvSpPr>
        <xdr:cNvPr id="9258" name="AutoShape 42">
          <a:extLst>
            <a:ext uri="{FF2B5EF4-FFF2-40B4-BE49-F238E27FC236}">
              <a16:creationId xmlns:a16="http://schemas.microsoft.com/office/drawing/2014/main" id="{3F434AAB-D8AD-FFA8-4940-4E961EC199EF}"/>
            </a:ext>
          </a:extLst>
        </xdr:cNvPr>
        <xdr:cNvSpPr>
          <a:spLocks noChangeAspect="1" noChangeArrowheads="1"/>
        </xdr:cNvSpPr>
      </xdr:nvSpPr>
      <xdr:spPr bwMode="auto">
        <a:xfrm>
          <a:off x="21463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19</xdr:row>
      <xdr:rowOff>0</xdr:rowOff>
    </xdr:from>
    <xdr:to>
      <xdr:col>26</xdr:col>
      <xdr:colOff>304800</xdr:colOff>
      <xdr:row>19</xdr:row>
      <xdr:rowOff>304800</xdr:rowOff>
    </xdr:to>
    <xdr:sp macro="" textlink="">
      <xdr:nvSpPr>
        <xdr:cNvPr id="9261" name="AutoShape 45">
          <a:extLst>
            <a:ext uri="{FF2B5EF4-FFF2-40B4-BE49-F238E27FC236}">
              <a16:creationId xmlns:a16="http://schemas.microsoft.com/office/drawing/2014/main" id="{618D6E78-131E-655D-9B15-3FDEA328B2C3}"/>
            </a:ext>
          </a:extLst>
        </xdr:cNvPr>
        <xdr:cNvSpPr>
          <a:spLocks noChangeAspect="1" noChangeArrowheads="1"/>
        </xdr:cNvSpPr>
      </xdr:nvSpPr>
      <xdr:spPr bwMode="auto">
        <a:xfrm>
          <a:off x="21463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20</xdr:row>
      <xdr:rowOff>0</xdr:rowOff>
    </xdr:from>
    <xdr:to>
      <xdr:col>26</xdr:col>
      <xdr:colOff>304800</xdr:colOff>
      <xdr:row>21</xdr:row>
      <xdr:rowOff>102336</xdr:rowOff>
    </xdr:to>
    <xdr:sp macro="" textlink="">
      <xdr:nvSpPr>
        <xdr:cNvPr id="9264" name="AutoShape 48">
          <a:extLst>
            <a:ext uri="{FF2B5EF4-FFF2-40B4-BE49-F238E27FC236}">
              <a16:creationId xmlns:a16="http://schemas.microsoft.com/office/drawing/2014/main" id="{A96C0E1C-8D22-FA8A-E4F7-C58F37CABF7F}"/>
            </a:ext>
          </a:extLst>
        </xdr:cNvPr>
        <xdr:cNvSpPr>
          <a:spLocks noChangeAspect="1" noChangeArrowheads="1"/>
        </xdr:cNvSpPr>
      </xdr:nvSpPr>
      <xdr:spPr bwMode="auto">
        <a:xfrm>
          <a:off x="21463000" y="54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21</xdr:row>
      <xdr:rowOff>0</xdr:rowOff>
    </xdr:from>
    <xdr:to>
      <xdr:col>26</xdr:col>
      <xdr:colOff>304800</xdr:colOff>
      <xdr:row>22</xdr:row>
      <xdr:rowOff>101599</xdr:rowOff>
    </xdr:to>
    <xdr:sp macro="" textlink="">
      <xdr:nvSpPr>
        <xdr:cNvPr id="9267" name="AutoShape 51">
          <a:extLst>
            <a:ext uri="{FF2B5EF4-FFF2-40B4-BE49-F238E27FC236}">
              <a16:creationId xmlns:a16="http://schemas.microsoft.com/office/drawing/2014/main" id="{F8730988-1EB2-D4E5-F95D-9CD58F8019A1}"/>
            </a:ext>
          </a:extLst>
        </xdr:cNvPr>
        <xdr:cNvSpPr>
          <a:spLocks noChangeAspect="1" noChangeArrowheads="1"/>
        </xdr:cNvSpPr>
      </xdr:nvSpPr>
      <xdr:spPr bwMode="auto">
        <a:xfrm>
          <a:off x="21463000" y="58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22</xdr:row>
      <xdr:rowOff>0</xdr:rowOff>
    </xdr:from>
    <xdr:to>
      <xdr:col>26</xdr:col>
      <xdr:colOff>304800</xdr:colOff>
      <xdr:row>23</xdr:row>
      <xdr:rowOff>101600</xdr:rowOff>
    </xdr:to>
    <xdr:sp macro="" textlink="">
      <xdr:nvSpPr>
        <xdr:cNvPr id="9270" name="AutoShape 54">
          <a:extLst>
            <a:ext uri="{FF2B5EF4-FFF2-40B4-BE49-F238E27FC236}">
              <a16:creationId xmlns:a16="http://schemas.microsoft.com/office/drawing/2014/main" id="{967C3E6B-64B7-6F2B-45AB-D5B899410E3D}"/>
            </a:ext>
          </a:extLst>
        </xdr:cNvPr>
        <xdr:cNvSpPr>
          <a:spLocks noChangeAspect="1" noChangeArrowheads="1"/>
        </xdr:cNvSpPr>
      </xdr:nvSpPr>
      <xdr:spPr bwMode="auto">
        <a:xfrm>
          <a:off x="21463000" y="60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23</xdr:row>
      <xdr:rowOff>0</xdr:rowOff>
    </xdr:from>
    <xdr:to>
      <xdr:col>26</xdr:col>
      <xdr:colOff>304800</xdr:colOff>
      <xdr:row>24</xdr:row>
      <xdr:rowOff>101601</xdr:rowOff>
    </xdr:to>
    <xdr:sp macro="" textlink="">
      <xdr:nvSpPr>
        <xdr:cNvPr id="9273" name="AutoShape 57">
          <a:extLst>
            <a:ext uri="{FF2B5EF4-FFF2-40B4-BE49-F238E27FC236}">
              <a16:creationId xmlns:a16="http://schemas.microsoft.com/office/drawing/2014/main" id="{72F7A5E6-FD2B-C7FA-8391-03796FF63EB5}"/>
            </a:ext>
          </a:extLst>
        </xdr:cNvPr>
        <xdr:cNvSpPr>
          <a:spLocks noChangeAspect="1" noChangeArrowheads="1"/>
        </xdr:cNvSpPr>
      </xdr:nvSpPr>
      <xdr:spPr bwMode="auto">
        <a:xfrm>
          <a:off x="21463000" y="62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24</xdr:row>
      <xdr:rowOff>0</xdr:rowOff>
    </xdr:from>
    <xdr:to>
      <xdr:col>26</xdr:col>
      <xdr:colOff>304800</xdr:colOff>
      <xdr:row>24</xdr:row>
      <xdr:rowOff>304800</xdr:rowOff>
    </xdr:to>
    <xdr:sp macro="" textlink="">
      <xdr:nvSpPr>
        <xdr:cNvPr id="9276" name="AutoShape 60">
          <a:extLst>
            <a:ext uri="{FF2B5EF4-FFF2-40B4-BE49-F238E27FC236}">
              <a16:creationId xmlns:a16="http://schemas.microsoft.com/office/drawing/2014/main" id="{432F2DF0-90CB-6C4B-514B-18FA71118872}"/>
            </a:ext>
          </a:extLst>
        </xdr:cNvPr>
        <xdr:cNvSpPr>
          <a:spLocks noChangeAspect="1" noChangeArrowheads="1"/>
        </xdr:cNvSpPr>
      </xdr:nvSpPr>
      <xdr:spPr bwMode="auto">
        <a:xfrm>
          <a:off x="21463000" y="64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25</xdr:row>
      <xdr:rowOff>0</xdr:rowOff>
    </xdr:from>
    <xdr:to>
      <xdr:col>26</xdr:col>
      <xdr:colOff>304800</xdr:colOff>
      <xdr:row>25</xdr:row>
      <xdr:rowOff>304800</xdr:rowOff>
    </xdr:to>
    <xdr:sp macro="" textlink="">
      <xdr:nvSpPr>
        <xdr:cNvPr id="9279" name="AutoShape 63">
          <a:extLst>
            <a:ext uri="{FF2B5EF4-FFF2-40B4-BE49-F238E27FC236}">
              <a16:creationId xmlns:a16="http://schemas.microsoft.com/office/drawing/2014/main" id="{7D68694F-BD25-EF4A-84B9-203BE82962D3}"/>
            </a:ext>
          </a:extLst>
        </xdr:cNvPr>
        <xdr:cNvSpPr>
          <a:spLocks noChangeAspect="1" noChangeArrowheads="1"/>
        </xdr:cNvSpPr>
      </xdr:nvSpPr>
      <xdr:spPr bwMode="auto">
        <a:xfrm>
          <a:off x="21463000" y="68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26</xdr:row>
      <xdr:rowOff>0</xdr:rowOff>
    </xdr:from>
    <xdr:to>
      <xdr:col>26</xdr:col>
      <xdr:colOff>304800</xdr:colOff>
      <xdr:row>26</xdr:row>
      <xdr:rowOff>304800</xdr:rowOff>
    </xdr:to>
    <xdr:sp macro="" textlink="">
      <xdr:nvSpPr>
        <xdr:cNvPr id="9282" name="AutoShape 66">
          <a:extLst>
            <a:ext uri="{FF2B5EF4-FFF2-40B4-BE49-F238E27FC236}">
              <a16:creationId xmlns:a16="http://schemas.microsoft.com/office/drawing/2014/main" id="{0BA9F2FD-13FD-12A2-060A-1922F3BA9A0F}"/>
            </a:ext>
          </a:extLst>
        </xdr:cNvPr>
        <xdr:cNvSpPr>
          <a:spLocks noChangeAspect="1" noChangeArrowheads="1"/>
        </xdr:cNvSpPr>
      </xdr:nvSpPr>
      <xdr:spPr bwMode="auto">
        <a:xfrm>
          <a:off x="21463000" y="72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27</xdr:row>
      <xdr:rowOff>0</xdr:rowOff>
    </xdr:from>
    <xdr:to>
      <xdr:col>26</xdr:col>
      <xdr:colOff>304800</xdr:colOff>
      <xdr:row>28</xdr:row>
      <xdr:rowOff>101600</xdr:rowOff>
    </xdr:to>
    <xdr:sp macro="" textlink="">
      <xdr:nvSpPr>
        <xdr:cNvPr id="9285" name="AutoShape 69">
          <a:extLst>
            <a:ext uri="{FF2B5EF4-FFF2-40B4-BE49-F238E27FC236}">
              <a16:creationId xmlns:a16="http://schemas.microsoft.com/office/drawing/2014/main" id="{101A95F7-15F0-87FA-75F2-F09EC0DAF1D4}"/>
            </a:ext>
          </a:extLst>
        </xdr:cNvPr>
        <xdr:cNvSpPr>
          <a:spLocks noChangeAspect="1" noChangeArrowheads="1"/>
        </xdr:cNvSpPr>
      </xdr:nvSpPr>
      <xdr:spPr bwMode="auto">
        <a:xfrm>
          <a:off x="21463000" y="75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28</xdr:row>
      <xdr:rowOff>0</xdr:rowOff>
    </xdr:from>
    <xdr:to>
      <xdr:col>26</xdr:col>
      <xdr:colOff>304800</xdr:colOff>
      <xdr:row>29</xdr:row>
      <xdr:rowOff>102336</xdr:rowOff>
    </xdr:to>
    <xdr:sp macro="" textlink="">
      <xdr:nvSpPr>
        <xdr:cNvPr id="9288" name="AutoShape 72">
          <a:extLst>
            <a:ext uri="{FF2B5EF4-FFF2-40B4-BE49-F238E27FC236}">
              <a16:creationId xmlns:a16="http://schemas.microsoft.com/office/drawing/2014/main" id="{CE00DA7B-F71A-D3A5-E95C-1D9D49946123}"/>
            </a:ext>
          </a:extLst>
        </xdr:cNvPr>
        <xdr:cNvSpPr>
          <a:spLocks noChangeAspect="1" noChangeArrowheads="1"/>
        </xdr:cNvSpPr>
      </xdr:nvSpPr>
      <xdr:spPr bwMode="auto">
        <a:xfrm>
          <a:off x="21463000" y="77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29</xdr:row>
      <xdr:rowOff>0</xdr:rowOff>
    </xdr:from>
    <xdr:to>
      <xdr:col>26</xdr:col>
      <xdr:colOff>304800</xdr:colOff>
      <xdr:row>30</xdr:row>
      <xdr:rowOff>102336</xdr:rowOff>
    </xdr:to>
    <xdr:sp macro="" textlink="">
      <xdr:nvSpPr>
        <xdr:cNvPr id="9291" name="AutoShape 75">
          <a:extLst>
            <a:ext uri="{FF2B5EF4-FFF2-40B4-BE49-F238E27FC236}">
              <a16:creationId xmlns:a16="http://schemas.microsoft.com/office/drawing/2014/main" id="{687F0F27-FC4B-C517-D0A0-9736DBE87EEE}"/>
            </a:ext>
          </a:extLst>
        </xdr:cNvPr>
        <xdr:cNvSpPr>
          <a:spLocks noChangeAspect="1" noChangeArrowheads="1"/>
        </xdr:cNvSpPr>
      </xdr:nvSpPr>
      <xdr:spPr bwMode="auto">
        <a:xfrm>
          <a:off x="21463000" y="81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30</xdr:row>
      <xdr:rowOff>0</xdr:rowOff>
    </xdr:from>
    <xdr:to>
      <xdr:col>26</xdr:col>
      <xdr:colOff>304800</xdr:colOff>
      <xdr:row>30</xdr:row>
      <xdr:rowOff>304800</xdr:rowOff>
    </xdr:to>
    <xdr:sp macro="" textlink="">
      <xdr:nvSpPr>
        <xdr:cNvPr id="9294" name="AutoShape 78">
          <a:extLst>
            <a:ext uri="{FF2B5EF4-FFF2-40B4-BE49-F238E27FC236}">
              <a16:creationId xmlns:a16="http://schemas.microsoft.com/office/drawing/2014/main" id="{23906013-5863-8838-A4D8-560AFA357B06}"/>
            </a:ext>
          </a:extLst>
        </xdr:cNvPr>
        <xdr:cNvSpPr>
          <a:spLocks noChangeAspect="1" noChangeArrowheads="1"/>
        </xdr:cNvSpPr>
      </xdr:nvSpPr>
      <xdr:spPr bwMode="auto">
        <a:xfrm>
          <a:off x="21463000" y="855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31</xdr:row>
      <xdr:rowOff>0</xdr:rowOff>
    </xdr:from>
    <xdr:to>
      <xdr:col>26</xdr:col>
      <xdr:colOff>304800</xdr:colOff>
      <xdr:row>32</xdr:row>
      <xdr:rowOff>101601</xdr:rowOff>
    </xdr:to>
    <xdr:sp macro="" textlink="">
      <xdr:nvSpPr>
        <xdr:cNvPr id="9297" name="AutoShape 81">
          <a:extLst>
            <a:ext uri="{FF2B5EF4-FFF2-40B4-BE49-F238E27FC236}">
              <a16:creationId xmlns:a16="http://schemas.microsoft.com/office/drawing/2014/main" id="{FAF2675E-D38B-FB9A-A392-2A04F5E3A5D8}"/>
            </a:ext>
          </a:extLst>
        </xdr:cNvPr>
        <xdr:cNvSpPr>
          <a:spLocks noChangeAspect="1" noChangeArrowheads="1"/>
        </xdr:cNvSpPr>
      </xdr:nvSpPr>
      <xdr:spPr bwMode="auto">
        <a:xfrm>
          <a:off x="21463000" y="8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32</xdr:row>
      <xdr:rowOff>0</xdr:rowOff>
    </xdr:from>
    <xdr:to>
      <xdr:col>26</xdr:col>
      <xdr:colOff>304800</xdr:colOff>
      <xdr:row>32</xdr:row>
      <xdr:rowOff>304064</xdr:rowOff>
    </xdr:to>
    <xdr:sp macro="" textlink="">
      <xdr:nvSpPr>
        <xdr:cNvPr id="9300" name="AutoShape 84">
          <a:extLst>
            <a:ext uri="{FF2B5EF4-FFF2-40B4-BE49-F238E27FC236}">
              <a16:creationId xmlns:a16="http://schemas.microsoft.com/office/drawing/2014/main" id="{F6D600B1-D80F-51B3-0CF3-85875A6480CF}"/>
            </a:ext>
          </a:extLst>
        </xdr:cNvPr>
        <xdr:cNvSpPr>
          <a:spLocks noChangeAspect="1" noChangeArrowheads="1"/>
        </xdr:cNvSpPr>
      </xdr:nvSpPr>
      <xdr:spPr bwMode="auto">
        <a:xfrm>
          <a:off x="214630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34</xdr:row>
      <xdr:rowOff>0</xdr:rowOff>
    </xdr:from>
    <xdr:to>
      <xdr:col>26</xdr:col>
      <xdr:colOff>304800</xdr:colOff>
      <xdr:row>35</xdr:row>
      <xdr:rowOff>102336</xdr:rowOff>
    </xdr:to>
    <xdr:sp macro="" textlink="">
      <xdr:nvSpPr>
        <xdr:cNvPr id="9303" name="AutoShape 87">
          <a:extLst>
            <a:ext uri="{FF2B5EF4-FFF2-40B4-BE49-F238E27FC236}">
              <a16:creationId xmlns:a16="http://schemas.microsoft.com/office/drawing/2014/main" id="{88C42C4C-55EC-66E8-2FCC-76B166EBE661}"/>
            </a:ext>
          </a:extLst>
        </xdr:cNvPr>
        <xdr:cNvSpPr>
          <a:spLocks noChangeAspect="1" noChangeArrowheads="1"/>
        </xdr:cNvSpPr>
      </xdr:nvSpPr>
      <xdr:spPr bwMode="auto">
        <a:xfrm>
          <a:off x="21463000" y="9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36</xdr:row>
      <xdr:rowOff>0</xdr:rowOff>
    </xdr:from>
    <xdr:to>
      <xdr:col>26</xdr:col>
      <xdr:colOff>304800</xdr:colOff>
      <xdr:row>37</xdr:row>
      <xdr:rowOff>101598</xdr:rowOff>
    </xdr:to>
    <xdr:sp macro="" textlink="">
      <xdr:nvSpPr>
        <xdr:cNvPr id="9309" name="AutoShape 93">
          <a:extLst>
            <a:ext uri="{FF2B5EF4-FFF2-40B4-BE49-F238E27FC236}">
              <a16:creationId xmlns:a16="http://schemas.microsoft.com/office/drawing/2014/main" id="{882A4EF6-2379-6D9C-7EAF-8D0C0791017F}"/>
            </a:ext>
          </a:extLst>
        </xdr:cNvPr>
        <xdr:cNvSpPr>
          <a:spLocks noChangeAspect="1" noChangeArrowheads="1"/>
        </xdr:cNvSpPr>
      </xdr:nvSpPr>
      <xdr:spPr bwMode="auto">
        <a:xfrm>
          <a:off x="21463000" y="99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37</xdr:row>
      <xdr:rowOff>0</xdr:rowOff>
    </xdr:from>
    <xdr:to>
      <xdr:col>26</xdr:col>
      <xdr:colOff>304800</xdr:colOff>
      <xdr:row>38</xdr:row>
      <xdr:rowOff>101600</xdr:rowOff>
    </xdr:to>
    <xdr:sp macro="" textlink="">
      <xdr:nvSpPr>
        <xdr:cNvPr id="9312" name="AutoShape 96">
          <a:extLst>
            <a:ext uri="{FF2B5EF4-FFF2-40B4-BE49-F238E27FC236}">
              <a16:creationId xmlns:a16="http://schemas.microsoft.com/office/drawing/2014/main" id="{65C8FE25-F652-0FF3-9BF4-A219ABD6118F}"/>
            </a:ext>
          </a:extLst>
        </xdr:cNvPr>
        <xdr:cNvSpPr>
          <a:spLocks noChangeAspect="1" noChangeArrowheads="1"/>
        </xdr:cNvSpPr>
      </xdr:nvSpPr>
      <xdr:spPr bwMode="auto">
        <a:xfrm>
          <a:off x="21463000" y="101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38</xdr:row>
      <xdr:rowOff>0</xdr:rowOff>
    </xdr:from>
    <xdr:to>
      <xdr:col>26</xdr:col>
      <xdr:colOff>304800</xdr:colOff>
      <xdr:row>39</xdr:row>
      <xdr:rowOff>101601</xdr:rowOff>
    </xdr:to>
    <xdr:sp macro="" textlink="">
      <xdr:nvSpPr>
        <xdr:cNvPr id="9315" name="AutoShape 99">
          <a:extLst>
            <a:ext uri="{FF2B5EF4-FFF2-40B4-BE49-F238E27FC236}">
              <a16:creationId xmlns:a16="http://schemas.microsoft.com/office/drawing/2014/main" id="{F4630C7D-D598-8EF8-F96A-4E481B987567}"/>
            </a:ext>
          </a:extLst>
        </xdr:cNvPr>
        <xdr:cNvSpPr>
          <a:spLocks noChangeAspect="1" noChangeArrowheads="1"/>
        </xdr:cNvSpPr>
      </xdr:nvSpPr>
      <xdr:spPr bwMode="auto">
        <a:xfrm>
          <a:off x="21463000" y="1033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39</xdr:row>
      <xdr:rowOff>0</xdr:rowOff>
    </xdr:from>
    <xdr:to>
      <xdr:col>26</xdr:col>
      <xdr:colOff>304800</xdr:colOff>
      <xdr:row>40</xdr:row>
      <xdr:rowOff>102335</xdr:rowOff>
    </xdr:to>
    <xdr:sp macro="" textlink="">
      <xdr:nvSpPr>
        <xdr:cNvPr id="9318" name="AutoShape 102">
          <a:extLst>
            <a:ext uri="{FF2B5EF4-FFF2-40B4-BE49-F238E27FC236}">
              <a16:creationId xmlns:a16="http://schemas.microsoft.com/office/drawing/2014/main" id="{6146D205-8BD7-6AE5-C8C7-32809D194BE4}"/>
            </a:ext>
          </a:extLst>
        </xdr:cNvPr>
        <xdr:cNvSpPr>
          <a:spLocks noChangeAspect="1" noChangeArrowheads="1"/>
        </xdr:cNvSpPr>
      </xdr:nvSpPr>
      <xdr:spPr bwMode="auto">
        <a:xfrm>
          <a:off x="21463000" y="105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39</xdr:row>
      <xdr:rowOff>0</xdr:rowOff>
    </xdr:from>
    <xdr:to>
      <xdr:col>26</xdr:col>
      <xdr:colOff>304800</xdr:colOff>
      <xdr:row>40</xdr:row>
      <xdr:rowOff>102336</xdr:rowOff>
    </xdr:to>
    <xdr:sp macro="" textlink="">
      <xdr:nvSpPr>
        <xdr:cNvPr id="9321" name="AutoShape 105">
          <a:extLst>
            <a:ext uri="{FF2B5EF4-FFF2-40B4-BE49-F238E27FC236}">
              <a16:creationId xmlns:a16="http://schemas.microsoft.com/office/drawing/2014/main" id="{2DC1F1CE-F457-B62F-5DD3-E2FBB955A03F}"/>
            </a:ext>
          </a:extLst>
        </xdr:cNvPr>
        <xdr:cNvSpPr>
          <a:spLocks noChangeAspect="1" noChangeArrowheads="1"/>
        </xdr:cNvSpPr>
      </xdr:nvSpPr>
      <xdr:spPr bwMode="auto">
        <a:xfrm>
          <a:off x="2146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40</xdr:row>
      <xdr:rowOff>0</xdr:rowOff>
    </xdr:from>
    <xdr:to>
      <xdr:col>26</xdr:col>
      <xdr:colOff>304800</xdr:colOff>
      <xdr:row>41</xdr:row>
      <xdr:rowOff>102336</xdr:rowOff>
    </xdr:to>
    <xdr:sp macro="" textlink="">
      <xdr:nvSpPr>
        <xdr:cNvPr id="9324" name="AutoShape 108">
          <a:extLst>
            <a:ext uri="{FF2B5EF4-FFF2-40B4-BE49-F238E27FC236}">
              <a16:creationId xmlns:a16="http://schemas.microsoft.com/office/drawing/2014/main" id="{823AE805-F053-C676-5AE0-1C2DC438ADC9}"/>
            </a:ext>
          </a:extLst>
        </xdr:cNvPr>
        <xdr:cNvSpPr>
          <a:spLocks noChangeAspect="1" noChangeArrowheads="1"/>
        </xdr:cNvSpPr>
      </xdr:nvSpPr>
      <xdr:spPr bwMode="auto">
        <a:xfrm>
          <a:off x="21463000" y="111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41</xdr:row>
      <xdr:rowOff>0</xdr:rowOff>
    </xdr:from>
    <xdr:to>
      <xdr:col>26</xdr:col>
      <xdr:colOff>304800</xdr:colOff>
      <xdr:row>42</xdr:row>
      <xdr:rowOff>102336</xdr:rowOff>
    </xdr:to>
    <xdr:sp macro="" textlink="">
      <xdr:nvSpPr>
        <xdr:cNvPr id="9327" name="AutoShape 111">
          <a:extLst>
            <a:ext uri="{FF2B5EF4-FFF2-40B4-BE49-F238E27FC236}">
              <a16:creationId xmlns:a16="http://schemas.microsoft.com/office/drawing/2014/main" id="{E547BB41-1C81-067E-4EA8-5D000E0CBFBA}"/>
            </a:ext>
          </a:extLst>
        </xdr:cNvPr>
        <xdr:cNvSpPr>
          <a:spLocks noChangeAspect="1" noChangeArrowheads="1"/>
        </xdr:cNvSpPr>
      </xdr:nvSpPr>
      <xdr:spPr bwMode="auto">
        <a:xfrm>
          <a:off x="21463000" y="1150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42</xdr:row>
      <xdr:rowOff>0</xdr:rowOff>
    </xdr:from>
    <xdr:to>
      <xdr:col>26</xdr:col>
      <xdr:colOff>304800</xdr:colOff>
      <xdr:row>43</xdr:row>
      <xdr:rowOff>101600</xdr:rowOff>
    </xdr:to>
    <xdr:sp macro="" textlink="">
      <xdr:nvSpPr>
        <xdr:cNvPr id="9330" name="AutoShape 114">
          <a:extLst>
            <a:ext uri="{FF2B5EF4-FFF2-40B4-BE49-F238E27FC236}">
              <a16:creationId xmlns:a16="http://schemas.microsoft.com/office/drawing/2014/main" id="{AB9EBABD-DDA5-A3EC-C7B3-D86EA96E407A}"/>
            </a:ext>
          </a:extLst>
        </xdr:cNvPr>
        <xdr:cNvSpPr>
          <a:spLocks noChangeAspect="1" noChangeArrowheads="1"/>
        </xdr:cNvSpPr>
      </xdr:nvSpPr>
      <xdr:spPr bwMode="auto">
        <a:xfrm>
          <a:off x="21463000" y="118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43</xdr:row>
      <xdr:rowOff>0</xdr:rowOff>
    </xdr:from>
    <xdr:to>
      <xdr:col>26</xdr:col>
      <xdr:colOff>304800</xdr:colOff>
      <xdr:row>44</xdr:row>
      <xdr:rowOff>101600</xdr:rowOff>
    </xdr:to>
    <xdr:sp macro="" textlink="">
      <xdr:nvSpPr>
        <xdr:cNvPr id="9333" name="AutoShape 117">
          <a:extLst>
            <a:ext uri="{FF2B5EF4-FFF2-40B4-BE49-F238E27FC236}">
              <a16:creationId xmlns:a16="http://schemas.microsoft.com/office/drawing/2014/main" id="{9F3AA246-B995-9B18-EF4E-326C0FACC50B}"/>
            </a:ext>
          </a:extLst>
        </xdr:cNvPr>
        <xdr:cNvSpPr>
          <a:spLocks noChangeAspect="1" noChangeArrowheads="1"/>
        </xdr:cNvSpPr>
      </xdr:nvSpPr>
      <xdr:spPr bwMode="auto">
        <a:xfrm>
          <a:off x="21463000" y="120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44</xdr:row>
      <xdr:rowOff>0</xdr:rowOff>
    </xdr:from>
    <xdr:to>
      <xdr:col>26</xdr:col>
      <xdr:colOff>304800</xdr:colOff>
      <xdr:row>45</xdr:row>
      <xdr:rowOff>101600</xdr:rowOff>
    </xdr:to>
    <xdr:sp macro="" textlink="">
      <xdr:nvSpPr>
        <xdr:cNvPr id="9336" name="AutoShape 120">
          <a:extLst>
            <a:ext uri="{FF2B5EF4-FFF2-40B4-BE49-F238E27FC236}">
              <a16:creationId xmlns:a16="http://schemas.microsoft.com/office/drawing/2014/main" id="{CDE9BEA1-E23C-B7E1-8081-6FF655C1F6C5}"/>
            </a:ext>
          </a:extLst>
        </xdr:cNvPr>
        <xdr:cNvSpPr>
          <a:spLocks noChangeAspect="1" noChangeArrowheads="1"/>
        </xdr:cNvSpPr>
      </xdr:nvSpPr>
      <xdr:spPr bwMode="auto">
        <a:xfrm>
          <a:off x="21463000" y="122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45</xdr:row>
      <xdr:rowOff>0</xdr:rowOff>
    </xdr:from>
    <xdr:to>
      <xdr:col>26</xdr:col>
      <xdr:colOff>304800</xdr:colOff>
      <xdr:row>46</xdr:row>
      <xdr:rowOff>102336</xdr:rowOff>
    </xdr:to>
    <xdr:sp macro="" textlink="">
      <xdr:nvSpPr>
        <xdr:cNvPr id="9339" name="AutoShape 123">
          <a:extLst>
            <a:ext uri="{FF2B5EF4-FFF2-40B4-BE49-F238E27FC236}">
              <a16:creationId xmlns:a16="http://schemas.microsoft.com/office/drawing/2014/main" id="{B256B025-58AA-1237-C351-BD574E1EB922}"/>
            </a:ext>
          </a:extLst>
        </xdr:cNvPr>
        <xdr:cNvSpPr>
          <a:spLocks noChangeAspect="1" noChangeArrowheads="1"/>
        </xdr:cNvSpPr>
      </xdr:nvSpPr>
      <xdr:spPr bwMode="auto">
        <a:xfrm>
          <a:off x="21463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46</xdr:row>
      <xdr:rowOff>0</xdr:rowOff>
    </xdr:from>
    <xdr:to>
      <xdr:col>26</xdr:col>
      <xdr:colOff>304800</xdr:colOff>
      <xdr:row>47</xdr:row>
      <xdr:rowOff>101600</xdr:rowOff>
    </xdr:to>
    <xdr:sp macro="" textlink="">
      <xdr:nvSpPr>
        <xdr:cNvPr id="9342" name="AutoShape 126">
          <a:extLst>
            <a:ext uri="{FF2B5EF4-FFF2-40B4-BE49-F238E27FC236}">
              <a16:creationId xmlns:a16="http://schemas.microsoft.com/office/drawing/2014/main" id="{58775DE6-59C3-225C-1696-00ACB1487F73}"/>
            </a:ext>
          </a:extLst>
        </xdr:cNvPr>
        <xdr:cNvSpPr>
          <a:spLocks noChangeAspect="1" noChangeArrowheads="1"/>
        </xdr:cNvSpPr>
      </xdr:nvSpPr>
      <xdr:spPr bwMode="auto">
        <a:xfrm>
          <a:off x="21463000" y="128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47</xdr:row>
      <xdr:rowOff>0</xdr:rowOff>
    </xdr:from>
    <xdr:to>
      <xdr:col>26</xdr:col>
      <xdr:colOff>304800</xdr:colOff>
      <xdr:row>48</xdr:row>
      <xdr:rowOff>102337</xdr:rowOff>
    </xdr:to>
    <xdr:sp macro="" textlink="">
      <xdr:nvSpPr>
        <xdr:cNvPr id="9345" name="AutoShape 129">
          <a:extLst>
            <a:ext uri="{FF2B5EF4-FFF2-40B4-BE49-F238E27FC236}">
              <a16:creationId xmlns:a16="http://schemas.microsoft.com/office/drawing/2014/main" id="{487CA302-A0B4-516C-DD74-FB741DB13CA0}"/>
            </a:ext>
          </a:extLst>
        </xdr:cNvPr>
        <xdr:cNvSpPr>
          <a:spLocks noChangeAspect="1" noChangeArrowheads="1"/>
        </xdr:cNvSpPr>
      </xdr:nvSpPr>
      <xdr:spPr bwMode="auto">
        <a:xfrm>
          <a:off x="21463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48</xdr:row>
      <xdr:rowOff>0</xdr:rowOff>
    </xdr:from>
    <xdr:to>
      <xdr:col>26</xdr:col>
      <xdr:colOff>304800</xdr:colOff>
      <xdr:row>49</xdr:row>
      <xdr:rowOff>83930</xdr:rowOff>
    </xdr:to>
    <xdr:sp macro="" textlink="">
      <xdr:nvSpPr>
        <xdr:cNvPr id="9348" name="AutoShape 132">
          <a:extLst>
            <a:ext uri="{FF2B5EF4-FFF2-40B4-BE49-F238E27FC236}">
              <a16:creationId xmlns:a16="http://schemas.microsoft.com/office/drawing/2014/main" id="{A1B39424-7E6D-5DD9-4EAA-3353CDA1511E}"/>
            </a:ext>
          </a:extLst>
        </xdr:cNvPr>
        <xdr:cNvSpPr>
          <a:spLocks noChangeAspect="1" noChangeArrowheads="1"/>
        </xdr:cNvSpPr>
      </xdr:nvSpPr>
      <xdr:spPr bwMode="auto">
        <a:xfrm>
          <a:off x="21463000" y="134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47</xdr:col>
      <xdr:colOff>19243</xdr:colOff>
      <xdr:row>7</xdr:row>
      <xdr:rowOff>115455</xdr:rowOff>
    </xdr:from>
    <xdr:to>
      <xdr:col>49</xdr:col>
      <xdr:colOff>0</xdr:colOff>
      <xdr:row>10</xdr:row>
      <xdr:rowOff>19243</xdr:rowOff>
    </xdr:to>
    <xdr:sp macro="" textlink="">
      <xdr:nvSpPr>
        <xdr:cNvPr id="56" name="Right Arrow 55">
          <a:extLst>
            <a:ext uri="{FF2B5EF4-FFF2-40B4-BE49-F238E27FC236}">
              <a16:creationId xmlns:a16="http://schemas.microsoft.com/office/drawing/2014/main" id="{3950FCDF-FB99-F1BE-8421-E1C79AAC3630}"/>
            </a:ext>
          </a:extLst>
        </xdr:cNvPr>
        <xdr:cNvSpPr/>
      </xdr:nvSpPr>
      <xdr:spPr>
        <a:xfrm>
          <a:off x="40081970" y="2212879"/>
          <a:ext cx="2982575" cy="71197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19242</xdr:colOff>
      <xdr:row>20</xdr:row>
      <xdr:rowOff>173182</xdr:rowOff>
    </xdr:from>
    <xdr:to>
      <xdr:col>48</xdr:col>
      <xdr:colOff>808182</xdr:colOff>
      <xdr:row>23</xdr:row>
      <xdr:rowOff>76970</xdr:rowOff>
    </xdr:to>
    <xdr:sp macro="" textlink="">
      <xdr:nvSpPr>
        <xdr:cNvPr id="57" name="Right Arrow 56">
          <a:extLst>
            <a:ext uri="{FF2B5EF4-FFF2-40B4-BE49-F238E27FC236}">
              <a16:creationId xmlns:a16="http://schemas.microsoft.com/office/drawing/2014/main" id="{3903581F-80CB-0642-88B0-3EEAAF816E22}"/>
            </a:ext>
          </a:extLst>
        </xdr:cNvPr>
        <xdr:cNvSpPr/>
      </xdr:nvSpPr>
      <xdr:spPr>
        <a:xfrm>
          <a:off x="40081969" y="5791970"/>
          <a:ext cx="2963334" cy="71197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825884</xdr:colOff>
      <xdr:row>29</xdr:row>
      <xdr:rowOff>306340</xdr:rowOff>
    </xdr:from>
    <xdr:to>
      <xdr:col>48</xdr:col>
      <xdr:colOff>788940</xdr:colOff>
      <xdr:row>32</xdr:row>
      <xdr:rowOff>36946</xdr:rowOff>
    </xdr:to>
    <xdr:sp macro="" textlink="">
      <xdr:nvSpPr>
        <xdr:cNvPr id="58" name="Right Arrow 57">
          <a:extLst>
            <a:ext uri="{FF2B5EF4-FFF2-40B4-BE49-F238E27FC236}">
              <a16:creationId xmlns:a16="http://schemas.microsoft.com/office/drawing/2014/main" id="{44B322A8-3ECE-774E-AF96-A6E4C5C729AA}"/>
            </a:ext>
          </a:extLst>
        </xdr:cNvPr>
        <xdr:cNvSpPr/>
      </xdr:nvSpPr>
      <xdr:spPr>
        <a:xfrm>
          <a:off x="40061187" y="8696037"/>
          <a:ext cx="2964874" cy="71197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49</xdr:col>
      <xdr:colOff>0</xdr:colOff>
      <xdr:row>5</xdr:row>
      <xdr:rowOff>0</xdr:rowOff>
    </xdr:from>
    <xdr:ext cx="304800" cy="304800"/>
    <xdr:sp macro="" textlink="">
      <xdr:nvSpPr>
        <xdr:cNvPr id="59" name="AutoShape 3">
          <a:extLst>
            <a:ext uri="{FF2B5EF4-FFF2-40B4-BE49-F238E27FC236}">
              <a16:creationId xmlns:a16="http://schemas.microsoft.com/office/drawing/2014/main" id="{83B275A6-0EF8-5E44-AD00-AAAE8A15E665}"/>
            </a:ext>
          </a:extLst>
        </xdr:cNvPr>
        <xdr:cNvSpPr>
          <a:spLocks noChangeAspect="1" noChangeArrowheads="1"/>
        </xdr:cNvSpPr>
      </xdr:nvSpPr>
      <xdr:spPr bwMode="auto">
        <a:xfrm>
          <a:off x="23514242" y="1500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6</xdr:row>
      <xdr:rowOff>0</xdr:rowOff>
    </xdr:from>
    <xdr:ext cx="304800" cy="313266"/>
    <xdr:sp macro="" textlink="">
      <xdr:nvSpPr>
        <xdr:cNvPr id="60" name="AutoShape 6">
          <a:extLst>
            <a:ext uri="{FF2B5EF4-FFF2-40B4-BE49-F238E27FC236}">
              <a16:creationId xmlns:a16="http://schemas.microsoft.com/office/drawing/2014/main" id="{5A014CC1-19F2-724B-A62B-5D1B668DE0CF}"/>
            </a:ext>
          </a:extLst>
        </xdr:cNvPr>
        <xdr:cNvSpPr>
          <a:spLocks noChangeAspect="1" noChangeArrowheads="1"/>
        </xdr:cNvSpPr>
      </xdr:nvSpPr>
      <xdr:spPr bwMode="auto">
        <a:xfrm>
          <a:off x="23514242" y="1885758"/>
          <a:ext cx="304800" cy="313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7</xdr:row>
      <xdr:rowOff>0</xdr:rowOff>
    </xdr:from>
    <xdr:ext cx="304800" cy="313267"/>
    <xdr:sp macro="" textlink="">
      <xdr:nvSpPr>
        <xdr:cNvPr id="61" name="AutoShape 9">
          <a:extLst>
            <a:ext uri="{FF2B5EF4-FFF2-40B4-BE49-F238E27FC236}">
              <a16:creationId xmlns:a16="http://schemas.microsoft.com/office/drawing/2014/main" id="{0C289435-9533-9A49-BF0A-81E29B4854C7}"/>
            </a:ext>
          </a:extLst>
        </xdr:cNvPr>
        <xdr:cNvSpPr>
          <a:spLocks noChangeAspect="1" noChangeArrowheads="1"/>
        </xdr:cNvSpPr>
      </xdr:nvSpPr>
      <xdr:spPr bwMode="auto">
        <a:xfrm>
          <a:off x="23514242" y="2097424"/>
          <a:ext cx="304800" cy="313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8</xdr:row>
      <xdr:rowOff>0</xdr:rowOff>
    </xdr:from>
    <xdr:ext cx="304800" cy="304800"/>
    <xdr:sp macro="" textlink="">
      <xdr:nvSpPr>
        <xdr:cNvPr id="62" name="AutoShape 12">
          <a:extLst>
            <a:ext uri="{FF2B5EF4-FFF2-40B4-BE49-F238E27FC236}">
              <a16:creationId xmlns:a16="http://schemas.microsoft.com/office/drawing/2014/main" id="{309EF8DE-235C-634B-9173-7ED1A21239E1}"/>
            </a:ext>
          </a:extLst>
        </xdr:cNvPr>
        <xdr:cNvSpPr>
          <a:spLocks noChangeAspect="1" noChangeArrowheads="1"/>
        </xdr:cNvSpPr>
      </xdr:nvSpPr>
      <xdr:spPr bwMode="auto">
        <a:xfrm>
          <a:off x="23514242" y="230909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9</xdr:row>
      <xdr:rowOff>0</xdr:rowOff>
    </xdr:from>
    <xdr:ext cx="304800" cy="313267"/>
    <xdr:sp macro="" textlink="">
      <xdr:nvSpPr>
        <xdr:cNvPr id="63" name="AutoShape 15">
          <a:extLst>
            <a:ext uri="{FF2B5EF4-FFF2-40B4-BE49-F238E27FC236}">
              <a16:creationId xmlns:a16="http://schemas.microsoft.com/office/drawing/2014/main" id="{9E4DD06D-8D99-4C4F-B2F0-8B4A338DBB5D}"/>
            </a:ext>
          </a:extLst>
        </xdr:cNvPr>
        <xdr:cNvSpPr>
          <a:spLocks noChangeAspect="1" noChangeArrowheads="1"/>
        </xdr:cNvSpPr>
      </xdr:nvSpPr>
      <xdr:spPr bwMode="auto">
        <a:xfrm>
          <a:off x="23514242" y="2693939"/>
          <a:ext cx="304800" cy="313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10</xdr:row>
      <xdr:rowOff>0</xdr:rowOff>
    </xdr:from>
    <xdr:ext cx="304800" cy="304800"/>
    <xdr:sp macro="" textlink="">
      <xdr:nvSpPr>
        <xdr:cNvPr id="9216" name="AutoShape 18">
          <a:extLst>
            <a:ext uri="{FF2B5EF4-FFF2-40B4-BE49-F238E27FC236}">
              <a16:creationId xmlns:a16="http://schemas.microsoft.com/office/drawing/2014/main" id="{623C1D1D-622B-1C41-91A1-793342038AC4}"/>
            </a:ext>
          </a:extLst>
        </xdr:cNvPr>
        <xdr:cNvSpPr>
          <a:spLocks noChangeAspect="1" noChangeArrowheads="1"/>
        </xdr:cNvSpPr>
      </xdr:nvSpPr>
      <xdr:spPr bwMode="auto">
        <a:xfrm>
          <a:off x="23514242" y="29056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11</xdr:row>
      <xdr:rowOff>0</xdr:rowOff>
    </xdr:from>
    <xdr:ext cx="304800" cy="313265"/>
    <xdr:sp macro="" textlink="">
      <xdr:nvSpPr>
        <xdr:cNvPr id="9217" name="AutoShape 21">
          <a:extLst>
            <a:ext uri="{FF2B5EF4-FFF2-40B4-BE49-F238E27FC236}">
              <a16:creationId xmlns:a16="http://schemas.microsoft.com/office/drawing/2014/main" id="{E2A9EBA4-8B5F-CB44-9AE6-78A6293FC562}"/>
            </a:ext>
          </a:extLst>
        </xdr:cNvPr>
        <xdr:cNvSpPr>
          <a:spLocks noChangeAspect="1" noChangeArrowheads="1"/>
        </xdr:cNvSpPr>
      </xdr:nvSpPr>
      <xdr:spPr bwMode="auto">
        <a:xfrm>
          <a:off x="23514242" y="3290455"/>
          <a:ext cx="304800" cy="313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12</xdr:row>
      <xdr:rowOff>0</xdr:rowOff>
    </xdr:from>
    <xdr:ext cx="304800" cy="313267"/>
    <xdr:sp macro="" textlink="">
      <xdr:nvSpPr>
        <xdr:cNvPr id="9218" name="AutoShape 24">
          <a:extLst>
            <a:ext uri="{FF2B5EF4-FFF2-40B4-BE49-F238E27FC236}">
              <a16:creationId xmlns:a16="http://schemas.microsoft.com/office/drawing/2014/main" id="{917F0A95-4D12-0F4E-89E6-8B48DDB1985D}"/>
            </a:ext>
          </a:extLst>
        </xdr:cNvPr>
        <xdr:cNvSpPr>
          <a:spLocks noChangeAspect="1" noChangeArrowheads="1"/>
        </xdr:cNvSpPr>
      </xdr:nvSpPr>
      <xdr:spPr bwMode="auto">
        <a:xfrm>
          <a:off x="23514242" y="3502121"/>
          <a:ext cx="304800" cy="313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13</xdr:row>
      <xdr:rowOff>0</xdr:rowOff>
    </xdr:from>
    <xdr:ext cx="304800" cy="313267"/>
    <xdr:sp macro="" textlink="">
      <xdr:nvSpPr>
        <xdr:cNvPr id="9220" name="AutoShape 27">
          <a:extLst>
            <a:ext uri="{FF2B5EF4-FFF2-40B4-BE49-F238E27FC236}">
              <a16:creationId xmlns:a16="http://schemas.microsoft.com/office/drawing/2014/main" id="{389307E5-4B77-764F-BD05-F6DB6C9E451C}"/>
            </a:ext>
          </a:extLst>
        </xdr:cNvPr>
        <xdr:cNvSpPr>
          <a:spLocks noChangeAspect="1" noChangeArrowheads="1"/>
        </xdr:cNvSpPr>
      </xdr:nvSpPr>
      <xdr:spPr bwMode="auto">
        <a:xfrm>
          <a:off x="23514242" y="3713788"/>
          <a:ext cx="304800" cy="313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14</xdr:row>
      <xdr:rowOff>0</xdr:rowOff>
    </xdr:from>
    <xdr:ext cx="304800" cy="313267"/>
    <xdr:sp macro="" textlink="">
      <xdr:nvSpPr>
        <xdr:cNvPr id="9221" name="AutoShape 30">
          <a:extLst>
            <a:ext uri="{FF2B5EF4-FFF2-40B4-BE49-F238E27FC236}">
              <a16:creationId xmlns:a16="http://schemas.microsoft.com/office/drawing/2014/main" id="{0B91D338-7500-B24A-831F-A65AE9EDBDCE}"/>
            </a:ext>
          </a:extLst>
        </xdr:cNvPr>
        <xdr:cNvSpPr>
          <a:spLocks noChangeAspect="1" noChangeArrowheads="1"/>
        </xdr:cNvSpPr>
      </xdr:nvSpPr>
      <xdr:spPr bwMode="auto">
        <a:xfrm>
          <a:off x="23514242" y="3925455"/>
          <a:ext cx="304800" cy="313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15</xdr:row>
      <xdr:rowOff>0</xdr:rowOff>
    </xdr:from>
    <xdr:ext cx="304800" cy="314036"/>
    <xdr:sp macro="" textlink="">
      <xdr:nvSpPr>
        <xdr:cNvPr id="9223" name="AutoShape 33">
          <a:extLst>
            <a:ext uri="{FF2B5EF4-FFF2-40B4-BE49-F238E27FC236}">
              <a16:creationId xmlns:a16="http://schemas.microsoft.com/office/drawing/2014/main" id="{CF9ED1DF-F53D-844F-A636-0331473E952D}"/>
            </a:ext>
          </a:extLst>
        </xdr:cNvPr>
        <xdr:cNvSpPr>
          <a:spLocks noChangeAspect="1" noChangeArrowheads="1"/>
        </xdr:cNvSpPr>
      </xdr:nvSpPr>
      <xdr:spPr bwMode="auto">
        <a:xfrm>
          <a:off x="23514242" y="4137121"/>
          <a:ext cx="304800" cy="3140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16</xdr:row>
      <xdr:rowOff>0</xdr:rowOff>
    </xdr:from>
    <xdr:ext cx="304800" cy="304800"/>
    <xdr:sp macro="" textlink="">
      <xdr:nvSpPr>
        <xdr:cNvPr id="9224" name="AutoShape 36">
          <a:extLst>
            <a:ext uri="{FF2B5EF4-FFF2-40B4-BE49-F238E27FC236}">
              <a16:creationId xmlns:a16="http://schemas.microsoft.com/office/drawing/2014/main" id="{8B68B379-11D3-544B-96B2-61FB4B98396B}"/>
            </a:ext>
          </a:extLst>
        </xdr:cNvPr>
        <xdr:cNvSpPr>
          <a:spLocks noChangeAspect="1" noChangeArrowheads="1"/>
        </xdr:cNvSpPr>
      </xdr:nvSpPr>
      <xdr:spPr bwMode="auto">
        <a:xfrm>
          <a:off x="23514242" y="442575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17</xdr:row>
      <xdr:rowOff>0</xdr:rowOff>
    </xdr:from>
    <xdr:ext cx="304800" cy="313267"/>
    <xdr:sp macro="" textlink="">
      <xdr:nvSpPr>
        <xdr:cNvPr id="9226" name="AutoShape 39">
          <a:extLst>
            <a:ext uri="{FF2B5EF4-FFF2-40B4-BE49-F238E27FC236}">
              <a16:creationId xmlns:a16="http://schemas.microsoft.com/office/drawing/2014/main" id="{9BA1E963-2264-B943-BB74-F408D271737F}"/>
            </a:ext>
          </a:extLst>
        </xdr:cNvPr>
        <xdr:cNvSpPr>
          <a:spLocks noChangeAspect="1" noChangeArrowheads="1"/>
        </xdr:cNvSpPr>
      </xdr:nvSpPr>
      <xdr:spPr bwMode="auto">
        <a:xfrm>
          <a:off x="23514242" y="4810606"/>
          <a:ext cx="304800" cy="313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18</xdr:row>
      <xdr:rowOff>0</xdr:rowOff>
    </xdr:from>
    <xdr:ext cx="304800" cy="313267"/>
    <xdr:sp macro="" textlink="">
      <xdr:nvSpPr>
        <xdr:cNvPr id="9227" name="AutoShape 42">
          <a:extLst>
            <a:ext uri="{FF2B5EF4-FFF2-40B4-BE49-F238E27FC236}">
              <a16:creationId xmlns:a16="http://schemas.microsoft.com/office/drawing/2014/main" id="{B162AE31-3864-A44E-9198-D480C41FC652}"/>
            </a:ext>
          </a:extLst>
        </xdr:cNvPr>
        <xdr:cNvSpPr>
          <a:spLocks noChangeAspect="1" noChangeArrowheads="1"/>
        </xdr:cNvSpPr>
      </xdr:nvSpPr>
      <xdr:spPr bwMode="auto">
        <a:xfrm>
          <a:off x="23514242" y="5022273"/>
          <a:ext cx="304800" cy="313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19</xdr:row>
      <xdr:rowOff>0</xdr:rowOff>
    </xdr:from>
    <xdr:ext cx="304800" cy="304800"/>
    <xdr:sp macro="" textlink="">
      <xdr:nvSpPr>
        <xdr:cNvPr id="9229" name="AutoShape 45">
          <a:extLst>
            <a:ext uri="{FF2B5EF4-FFF2-40B4-BE49-F238E27FC236}">
              <a16:creationId xmlns:a16="http://schemas.microsoft.com/office/drawing/2014/main" id="{6F677DCE-DED2-204B-92F7-036736A9D0AD}"/>
            </a:ext>
          </a:extLst>
        </xdr:cNvPr>
        <xdr:cNvSpPr>
          <a:spLocks noChangeAspect="1" noChangeArrowheads="1"/>
        </xdr:cNvSpPr>
      </xdr:nvSpPr>
      <xdr:spPr bwMode="auto">
        <a:xfrm>
          <a:off x="23514242" y="523393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20</xdr:row>
      <xdr:rowOff>0</xdr:rowOff>
    </xdr:from>
    <xdr:ext cx="304800" cy="304800"/>
    <xdr:sp macro="" textlink="">
      <xdr:nvSpPr>
        <xdr:cNvPr id="9230" name="AutoShape 48">
          <a:extLst>
            <a:ext uri="{FF2B5EF4-FFF2-40B4-BE49-F238E27FC236}">
              <a16:creationId xmlns:a16="http://schemas.microsoft.com/office/drawing/2014/main" id="{C80B7C60-2ADB-1740-9B41-043413D30660}"/>
            </a:ext>
          </a:extLst>
        </xdr:cNvPr>
        <xdr:cNvSpPr>
          <a:spLocks noChangeAspect="1" noChangeArrowheads="1"/>
        </xdr:cNvSpPr>
      </xdr:nvSpPr>
      <xdr:spPr bwMode="auto">
        <a:xfrm>
          <a:off x="23514242" y="56187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21</xdr:row>
      <xdr:rowOff>0</xdr:rowOff>
    </xdr:from>
    <xdr:ext cx="304800" cy="313266"/>
    <xdr:sp macro="" textlink="">
      <xdr:nvSpPr>
        <xdr:cNvPr id="9232" name="AutoShape 51">
          <a:extLst>
            <a:ext uri="{FF2B5EF4-FFF2-40B4-BE49-F238E27FC236}">
              <a16:creationId xmlns:a16="http://schemas.microsoft.com/office/drawing/2014/main" id="{092AFEC4-EBC6-2541-845A-372B915FE47B}"/>
            </a:ext>
          </a:extLst>
        </xdr:cNvPr>
        <xdr:cNvSpPr>
          <a:spLocks noChangeAspect="1" noChangeArrowheads="1"/>
        </xdr:cNvSpPr>
      </xdr:nvSpPr>
      <xdr:spPr bwMode="auto">
        <a:xfrm>
          <a:off x="23514242" y="6003636"/>
          <a:ext cx="304800" cy="313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13267"/>
    <xdr:sp macro="" textlink="">
      <xdr:nvSpPr>
        <xdr:cNvPr id="9233" name="AutoShape 54">
          <a:extLst>
            <a:ext uri="{FF2B5EF4-FFF2-40B4-BE49-F238E27FC236}">
              <a16:creationId xmlns:a16="http://schemas.microsoft.com/office/drawing/2014/main" id="{FA6ED2D3-894D-AF47-B605-E010EC2E4579}"/>
            </a:ext>
          </a:extLst>
        </xdr:cNvPr>
        <xdr:cNvSpPr>
          <a:spLocks noChangeAspect="1" noChangeArrowheads="1"/>
        </xdr:cNvSpPr>
      </xdr:nvSpPr>
      <xdr:spPr bwMode="auto">
        <a:xfrm>
          <a:off x="23514242" y="6215303"/>
          <a:ext cx="304800" cy="313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23</xdr:row>
      <xdr:rowOff>0</xdr:rowOff>
    </xdr:from>
    <xdr:ext cx="304800" cy="313267"/>
    <xdr:sp macro="" textlink="">
      <xdr:nvSpPr>
        <xdr:cNvPr id="9235" name="AutoShape 57">
          <a:extLst>
            <a:ext uri="{FF2B5EF4-FFF2-40B4-BE49-F238E27FC236}">
              <a16:creationId xmlns:a16="http://schemas.microsoft.com/office/drawing/2014/main" id="{31C119D5-7595-584F-918D-1707E19C2C52}"/>
            </a:ext>
          </a:extLst>
        </xdr:cNvPr>
        <xdr:cNvSpPr>
          <a:spLocks noChangeAspect="1" noChangeArrowheads="1"/>
        </xdr:cNvSpPr>
      </xdr:nvSpPr>
      <xdr:spPr bwMode="auto">
        <a:xfrm>
          <a:off x="23514242" y="6426970"/>
          <a:ext cx="304800" cy="313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24</xdr:row>
      <xdr:rowOff>0</xdr:rowOff>
    </xdr:from>
    <xdr:ext cx="304800" cy="304800"/>
    <xdr:sp macro="" textlink="">
      <xdr:nvSpPr>
        <xdr:cNvPr id="9236" name="AutoShape 60">
          <a:extLst>
            <a:ext uri="{FF2B5EF4-FFF2-40B4-BE49-F238E27FC236}">
              <a16:creationId xmlns:a16="http://schemas.microsoft.com/office/drawing/2014/main" id="{6B7D90AE-D033-9740-AE2E-66A50ECEFEFA}"/>
            </a:ext>
          </a:extLst>
        </xdr:cNvPr>
        <xdr:cNvSpPr>
          <a:spLocks noChangeAspect="1" noChangeArrowheads="1"/>
        </xdr:cNvSpPr>
      </xdr:nvSpPr>
      <xdr:spPr bwMode="auto">
        <a:xfrm>
          <a:off x="23514242" y="66386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25</xdr:row>
      <xdr:rowOff>0</xdr:rowOff>
    </xdr:from>
    <xdr:ext cx="304800" cy="304800"/>
    <xdr:sp macro="" textlink="">
      <xdr:nvSpPr>
        <xdr:cNvPr id="9238" name="AutoShape 63">
          <a:extLst>
            <a:ext uri="{FF2B5EF4-FFF2-40B4-BE49-F238E27FC236}">
              <a16:creationId xmlns:a16="http://schemas.microsoft.com/office/drawing/2014/main" id="{BBCC7FB2-38B0-AE40-8B09-7D2FFEB6250A}"/>
            </a:ext>
          </a:extLst>
        </xdr:cNvPr>
        <xdr:cNvSpPr>
          <a:spLocks noChangeAspect="1" noChangeArrowheads="1"/>
        </xdr:cNvSpPr>
      </xdr:nvSpPr>
      <xdr:spPr bwMode="auto">
        <a:xfrm>
          <a:off x="23514242" y="702348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26</xdr:row>
      <xdr:rowOff>0</xdr:rowOff>
    </xdr:from>
    <xdr:ext cx="304800" cy="304800"/>
    <xdr:sp macro="" textlink="">
      <xdr:nvSpPr>
        <xdr:cNvPr id="9239" name="AutoShape 66">
          <a:extLst>
            <a:ext uri="{FF2B5EF4-FFF2-40B4-BE49-F238E27FC236}">
              <a16:creationId xmlns:a16="http://schemas.microsoft.com/office/drawing/2014/main" id="{BAFC390D-7762-434F-922B-465A427311BB}"/>
            </a:ext>
          </a:extLst>
        </xdr:cNvPr>
        <xdr:cNvSpPr>
          <a:spLocks noChangeAspect="1" noChangeArrowheads="1"/>
        </xdr:cNvSpPr>
      </xdr:nvSpPr>
      <xdr:spPr bwMode="auto">
        <a:xfrm>
          <a:off x="23514242" y="7408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27</xdr:row>
      <xdr:rowOff>0</xdr:rowOff>
    </xdr:from>
    <xdr:ext cx="304800" cy="313266"/>
    <xdr:sp macro="" textlink="">
      <xdr:nvSpPr>
        <xdr:cNvPr id="9241" name="AutoShape 69">
          <a:extLst>
            <a:ext uri="{FF2B5EF4-FFF2-40B4-BE49-F238E27FC236}">
              <a16:creationId xmlns:a16="http://schemas.microsoft.com/office/drawing/2014/main" id="{778A848C-042C-CB49-983D-5A3AD58648CA}"/>
            </a:ext>
          </a:extLst>
        </xdr:cNvPr>
        <xdr:cNvSpPr>
          <a:spLocks noChangeAspect="1" noChangeArrowheads="1"/>
        </xdr:cNvSpPr>
      </xdr:nvSpPr>
      <xdr:spPr bwMode="auto">
        <a:xfrm>
          <a:off x="23514242" y="7793182"/>
          <a:ext cx="304800" cy="313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28</xdr:row>
      <xdr:rowOff>0</xdr:rowOff>
    </xdr:from>
    <xdr:ext cx="304800" cy="304800"/>
    <xdr:sp macro="" textlink="">
      <xdr:nvSpPr>
        <xdr:cNvPr id="9242" name="AutoShape 72">
          <a:extLst>
            <a:ext uri="{FF2B5EF4-FFF2-40B4-BE49-F238E27FC236}">
              <a16:creationId xmlns:a16="http://schemas.microsoft.com/office/drawing/2014/main" id="{C6F311C4-5DD8-5740-B1F7-505E6E11CCB4}"/>
            </a:ext>
          </a:extLst>
        </xdr:cNvPr>
        <xdr:cNvSpPr>
          <a:spLocks noChangeAspect="1" noChangeArrowheads="1"/>
        </xdr:cNvSpPr>
      </xdr:nvSpPr>
      <xdr:spPr bwMode="auto">
        <a:xfrm>
          <a:off x="23514242" y="800484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29</xdr:row>
      <xdr:rowOff>0</xdr:rowOff>
    </xdr:from>
    <xdr:ext cx="304800" cy="304800"/>
    <xdr:sp macro="" textlink="">
      <xdr:nvSpPr>
        <xdr:cNvPr id="9244" name="AutoShape 75">
          <a:extLst>
            <a:ext uri="{FF2B5EF4-FFF2-40B4-BE49-F238E27FC236}">
              <a16:creationId xmlns:a16="http://schemas.microsoft.com/office/drawing/2014/main" id="{01E64078-9930-3842-8A02-2F57C0E33A7F}"/>
            </a:ext>
          </a:extLst>
        </xdr:cNvPr>
        <xdr:cNvSpPr>
          <a:spLocks noChangeAspect="1" noChangeArrowheads="1"/>
        </xdr:cNvSpPr>
      </xdr:nvSpPr>
      <xdr:spPr bwMode="auto">
        <a:xfrm>
          <a:off x="23514242" y="838969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30</xdr:row>
      <xdr:rowOff>0</xdr:rowOff>
    </xdr:from>
    <xdr:ext cx="304800" cy="304800"/>
    <xdr:sp macro="" textlink="">
      <xdr:nvSpPr>
        <xdr:cNvPr id="9245" name="AutoShape 78">
          <a:extLst>
            <a:ext uri="{FF2B5EF4-FFF2-40B4-BE49-F238E27FC236}">
              <a16:creationId xmlns:a16="http://schemas.microsoft.com/office/drawing/2014/main" id="{0AF90A7C-CA96-8049-9FF3-0292836A0182}"/>
            </a:ext>
          </a:extLst>
        </xdr:cNvPr>
        <xdr:cNvSpPr>
          <a:spLocks noChangeAspect="1" noChangeArrowheads="1"/>
        </xdr:cNvSpPr>
      </xdr:nvSpPr>
      <xdr:spPr bwMode="auto">
        <a:xfrm>
          <a:off x="23514242" y="877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31</xdr:row>
      <xdr:rowOff>0</xdr:rowOff>
    </xdr:from>
    <xdr:ext cx="304800" cy="313268"/>
    <xdr:sp macro="" textlink="">
      <xdr:nvSpPr>
        <xdr:cNvPr id="9247" name="AutoShape 81">
          <a:extLst>
            <a:ext uri="{FF2B5EF4-FFF2-40B4-BE49-F238E27FC236}">
              <a16:creationId xmlns:a16="http://schemas.microsoft.com/office/drawing/2014/main" id="{3B5F5CB8-6CA2-B248-BA5D-52745A417ECB}"/>
            </a:ext>
          </a:extLst>
        </xdr:cNvPr>
        <xdr:cNvSpPr>
          <a:spLocks noChangeAspect="1" noChangeArrowheads="1"/>
        </xdr:cNvSpPr>
      </xdr:nvSpPr>
      <xdr:spPr bwMode="auto">
        <a:xfrm>
          <a:off x="23514242" y="9159394"/>
          <a:ext cx="304800" cy="3132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32</xdr:row>
      <xdr:rowOff>0</xdr:rowOff>
    </xdr:from>
    <xdr:ext cx="304800" cy="313266"/>
    <xdr:sp macro="" textlink="">
      <xdr:nvSpPr>
        <xdr:cNvPr id="9248" name="AutoShape 84">
          <a:extLst>
            <a:ext uri="{FF2B5EF4-FFF2-40B4-BE49-F238E27FC236}">
              <a16:creationId xmlns:a16="http://schemas.microsoft.com/office/drawing/2014/main" id="{A9FAB8B2-8A77-0346-B041-A9EECBC3A740}"/>
            </a:ext>
          </a:extLst>
        </xdr:cNvPr>
        <xdr:cNvSpPr>
          <a:spLocks noChangeAspect="1" noChangeArrowheads="1"/>
        </xdr:cNvSpPr>
      </xdr:nvSpPr>
      <xdr:spPr bwMode="auto">
        <a:xfrm>
          <a:off x="23514242" y="9371061"/>
          <a:ext cx="304800" cy="313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34</xdr:row>
      <xdr:rowOff>0</xdr:rowOff>
    </xdr:from>
    <xdr:ext cx="304800" cy="313266"/>
    <xdr:sp macro="" textlink="">
      <xdr:nvSpPr>
        <xdr:cNvPr id="9250" name="AutoShape 87">
          <a:extLst>
            <a:ext uri="{FF2B5EF4-FFF2-40B4-BE49-F238E27FC236}">
              <a16:creationId xmlns:a16="http://schemas.microsoft.com/office/drawing/2014/main" id="{EC987309-2C7F-E64B-99CB-2253F5C9509C}"/>
            </a:ext>
          </a:extLst>
        </xdr:cNvPr>
        <xdr:cNvSpPr>
          <a:spLocks noChangeAspect="1" noChangeArrowheads="1"/>
        </xdr:cNvSpPr>
      </xdr:nvSpPr>
      <xdr:spPr bwMode="auto">
        <a:xfrm>
          <a:off x="23514242" y="9582727"/>
          <a:ext cx="304800" cy="313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939800</xdr:colOff>
      <xdr:row>30</xdr:row>
      <xdr:rowOff>355600</xdr:rowOff>
    </xdr:from>
    <xdr:ext cx="304800" cy="304800"/>
    <xdr:sp macro="" textlink="">
      <xdr:nvSpPr>
        <xdr:cNvPr id="9251" name="AutoShape 90">
          <a:extLst>
            <a:ext uri="{FF2B5EF4-FFF2-40B4-BE49-F238E27FC236}">
              <a16:creationId xmlns:a16="http://schemas.microsoft.com/office/drawing/2014/main" id="{1DE82246-BC00-7E4A-9899-B2B083E39242}"/>
            </a:ext>
          </a:extLst>
        </xdr:cNvPr>
        <xdr:cNvSpPr>
          <a:spLocks noChangeAspect="1" noChangeArrowheads="1"/>
        </xdr:cNvSpPr>
      </xdr:nvSpPr>
      <xdr:spPr bwMode="auto">
        <a:xfrm>
          <a:off x="42392600" y="8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36</xdr:row>
      <xdr:rowOff>0</xdr:rowOff>
    </xdr:from>
    <xdr:ext cx="304800" cy="313265"/>
    <xdr:sp macro="" textlink="">
      <xdr:nvSpPr>
        <xdr:cNvPr id="9253" name="AutoShape 93">
          <a:extLst>
            <a:ext uri="{FF2B5EF4-FFF2-40B4-BE49-F238E27FC236}">
              <a16:creationId xmlns:a16="http://schemas.microsoft.com/office/drawing/2014/main" id="{6F143833-2F72-5D42-B3C0-A1DC6AA99E50}"/>
            </a:ext>
          </a:extLst>
        </xdr:cNvPr>
        <xdr:cNvSpPr>
          <a:spLocks noChangeAspect="1" noChangeArrowheads="1"/>
        </xdr:cNvSpPr>
      </xdr:nvSpPr>
      <xdr:spPr bwMode="auto">
        <a:xfrm>
          <a:off x="23514242" y="10179242"/>
          <a:ext cx="304800" cy="313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37</xdr:row>
      <xdr:rowOff>0</xdr:rowOff>
    </xdr:from>
    <xdr:ext cx="304800" cy="313267"/>
    <xdr:sp macro="" textlink="">
      <xdr:nvSpPr>
        <xdr:cNvPr id="9254" name="AutoShape 96">
          <a:extLst>
            <a:ext uri="{FF2B5EF4-FFF2-40B4-BE49-F238E27FC236}">
              <a16:creationId xmlns:a16="http://schemas.microsoft.com/office/drawing/2014/main" id="{162B8DD0-B7F9-7B40-B9BF-8A6184AF1A1E}"/>
            </a:ext>
          </a:extLst>
        </xdr:cNvPr>
        <xdr:cNvSpPr>
          <a:spLocks noChangeAspect="1" noChangeArrowheads="1"/>
        </xdr:cNvSpPr>
      </xdr:nvSpPr>
      <xdr:spPr bwMode="auto">
        <a:xfrm>
          <a:off x="23514242" y="10390909"/>
          <a:ext cx="304800" cy="313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38</xdr:row>
      <xdr:rowOff>0</xdr:rowOff>
    </xdr:from>
    <xdr:ext cx="304800" cy="313267"/>
    <xdr:sp macro="" textlink="">
      <xdr:nvSpPr>
        <xdr:cNvPr id="9256" name="AutoShape 99">
          <a:extLst>
            <a:ext uri="{FF2B5EF4-FFF2-40B4-BE49-F238E27FC236}">
              <a16:creationId xmlns:a16="http://schemas.microsoft.com/office/drawing/2014/main" id="{029D1F1F-97AF-D54C-82EB-D25DDECCFC36}"/>
            </a:ext>
          </a:extLst>
        </xdr:cNvPr>
        <xdr:cNvSpPr>
          <a:spLocks noChangeAspect="1" noChangeArrowheads="1"/>
        </xdr:cNvSpPr>
      </xdr:nvSpPr>
      <xdr:spPr bwMode="auto">
        <a:xfrm>
          <a:off x="23514242" y="10602576"/>
          <a:ext cx="304800" cy="313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39</xdr:row>
      <xdr:rowOff>0</xdr:rowOff>
    </xdr:from>
    <xdr:ext cx="304800" cy="313266"/>
    <xdr:sp macro="" textlink="">
      <xdr:nvSpPr>
        <xdr:cNvPr id="9257" name="AutoShape 102">
          <a:extLst>
            <a:ext uri="{FF2B5EF4-FFF2-40B4-BE49-F238E27FC236}">
              <a16:creationId xmlns:a16="http://schemas.microsoft.com/office/drawing/2014/main" id="{B4DE2B78-F822-A74D-9F36-AA8C65BEADE1}"/>
            </a:ext>
          </a:extLst>
        </xdr:cNvPr>
        <xdr:cNvSpPr>
          <a:spLocks noChangeAspect="1" noChangeArrowheads="1"/>
        </xdr:cNvSpPr>
      </xdr:nvSpPr>
      <xdr:spPr bwMode="auto">
        <a:xfrm>
          <a:off x="23514242" y="10814242"/>
          <a:ext cx="304800" cy="313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12</xdr:col>
      <xdr:colOff>55219</xdr:colOff>
      <xdr:row>7</xdr:row>
      <xdr:rowOff>128841</xdr:rowOff>
    </xdr:from>
    <xdr:to>
      <xdr:col>14</xdr:col>
      <xdr:colOff>18407</xdr:colOff>
      <xdr:row>10</xdr:row>
      <xdr:rowOff>73623</xdr:rowOff>
    </xdr:to>
    <xdr:sp macro="" textlink="">
      <xdr:nvSpPr>
        <xdr:cNvPr id="9263" name="Right Arrow 9262">
          <a:extLst>
            <a:ext uri="{FF2B5EF4-FFF2-40B4-BE49-F238E27FC236}">
              <a16:creationId xmlns:a16="http://schemas.microsoft.com/office/drawing/2014/main" id="{6DB9B3E8-E0D5-1CC0-D53C-A727B11A1EE4}"/>
            </a:ext>
          </a:extLst>
        </xdr:cNvPr>
        <xdr:cNvSpPr/>
      </xdr:nvSpPr>
      <xdr:spPr>
        <a:xfrm>
          <a:off x="9994349" y="3036957"/>
          <a:ext cx="1619710" cy="736231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23561</xdr:colOff>
      <xdr:row>29</xdr:row>
      <xdr:rowOff>133994</xdr:rowOff>
    </xdr:from>
    <xdr:to>
      <xdr:col>13</xdr:col>
      <xdr:colOff>815010</xdr:colOff>
      <xdr:row>31</xdr:row>
      <xdr:rowOff>97181</xdr:rowOff>
    </xdr:to>
    <xdr:sp macro="" textlink="">
      <xdr:nvSpPr>
        <xdr:cNvPr id="9265" name="Right Arrow 9264">
          <a:extLst>
            <a:ext uri="{FF2B5EF4-FFF2-40B4-BE49-F238E27FC236}">
              <a16:creationId xmlns:a16="http://schemas.microsoft.com/office/drawing/2014/main" id="{E955FDDD-9156-E547-B07F-EBADDD8E980C}"/>
            </a:ext>
          </a:extLst>
        </xdr:cNvPr>
        <xdr:cNvSpPr/>
      </xdr:nvSpPr>
      <xdr:spPr>
        <a:xfrm>
          <a:off x="9962691" y="9907472"/>
          <a:ext cx="1619710" cy="736231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28714</xdr:colOff>
      <xdr:row>18</xdr:row>
      <xdr:rowOff>10308</xdr:rowOff>
    </xdr:from>
    <xdr:to>
      <xdr:col>13</xdr:col>
      <xdr:colOff>820163</xdr:colOff>
      <xdr:row>19</xdr:row>
      <xdr:rowOff>360017</xdr:rowOff>
    </xdr:to>
    <xdr:sp macro="" textlink="">
      <xdr:nvSpPr>
        <xdr:cNvPr id="9266" name="Right Arrow 9265">
          <a:extLst>
            <a:ext uri="{FF2B5EF4-FFF2-40B4-BE49-F238E27FC236}">
              <a16:creationId xmlns:a16="http://schemas.microsoft.com/office/drawing/2014/main" id="{03B4A4DB-B6AB-0448-94B1-7ED52F3F43BD}"/>
            </a:ext>
          </a:extLst>
        </xdr:cNvPr>
        <xdr:cNvSpPr/>
      </xdr:nvSpPr>
      <xdr:spPr>
        <a:xfrm>
          <a:off x="9967844" y="6452337"/>
          <a:ext cx="1619710" cy="736231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mich-my.sharepoint.com/Users/donnybaseball28/Downloads/sportsref_download%20(3).xls" TargetMode="External"/><Relationship Id="rId1" Type="http://schemas.openxmlformats.org/officeDocument/2006/relationships/externalLinkPath" Target="https://umich-my.sharepoint.com/Users/donnybaseball28/Downloads/sportsref_download%20(3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orksheet"/>
    </sheetNames>
    <sheetDataSet>
      <sheetData sheetId="0">
        <row r="2">
          <cell r="E2">
            <v>72</v>
          </cell>
          <cell r="G2">
            <v>262</v>
          </cell>
          <cell r="L2">
            <v>18</v>
          </cell>
          <cell r="R2">
            <v>0.34399999999999997</v>
          </cell>
          <cell r="U2">
            <v>1.0609999999999999</v>
          </cell>
        </row>
        <row r="3">
          <cell r="E3">
            <v>75</v>
          </cell>
          <cell r="G3">
            <v>257</v>
          </cell>
          <cell r="L3">
            <v>16</v>
          </cell>
          <cell r="R3">
            <v>0.32300000000000001</v>
          </cell>
          <cell r="U3">
            <v>1.022</v>
          </cell>
        </row>
        <row r="4">
          <cell r="E4">
            <v>11</v>
          </cell>
          <cell r="G4">
            <v>35</v>
          </cell>
          <cell r="L4">
            <v>4</v>
          </cell>
          <cell r="R4">
            <v>0.34300000000000003</v>
          </cell>
          <cell r="U4">
            <v>1.1919999999999999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novan Selph" refreshedDate="45515.760719212965" createdVersion="8" refreshedVersion="8" minRefreshableVersion="3" recordCount="82" xr:uid="{9850BA9F-5172-BB41-8DFF-67439768C02A}">
  <cacheSource type="worksheet">
    <worksheetSource ref="T2:AK84" sheet="Cleaned Data"/>
  </cacheSource>
  <cacheFields count="18">
    <cacheField name="Player Name" numFmtId="0">
      <sharedItems count="82">
        <s v="Brady Aiken (minors)"/>
        <s v="Tyler Kolek (minors)"/>
        <s v="Kodi Medeiros (minors)"/>
        <s v="Carlos Rodon (minors)"/>
        <s v="Aaron Nola (minors)"/>
        <s v="Kyle Freeland (minors)"/>
        <s v="Jeff Hoffman (minors)"/>
        <s v="Tyler Beede (minors)"/>
        <s v="Sean Newcomb (minors)"/>
        <s v="Touki Toussaint (minors)"/>
        <s v="Brandon Finnegan (minors)"/>
        <s v="Erick Fedde (minors)"/>
        <s v="Nick Howard (minors)"/>
        <s v="Grant Holmes (minors)"/>
        <s v="Luke Weaver (minors)"/>
        <s v="Foster Griffin (minors)"/>
        <s v="Luis Ortiz (minors)"/>
        <s v="Justus Sheffield (minors)"/>
        <s v="Michael Kopech (minors)"/>
        <s v="Jack Flaherty (minors)"/>
        <s v="Kyle Schwarber (minors)"/>
        <s v="Nick Gordon (minors)"/>
        <s v="Alex Jackson (minors)"/>
        <s v="Michael Conforto (minors)"/>
        <s v="Max Pentecost (minors)"/>
        <s v="Trea Turner (minors)"/>
        <s v="Casey Gillaspie (minors)"/>
        <s v="Bradley Zimmer (minors)"/>
        <s v="Derek Hill (minors)"/>
        <s v="Cole Tucker (minors)"/>
        <s v="Matt Chapman (minors)"/>
        <s v="Michael Chavis (minors)"/>
        <s v="Alex Blandino (minors)"/>
        <s v="Connor Joe (minors)"/>
        <s v="Forrest Wall (minors)"/>
        <s v="Blake Anderson (minors)"/>
        <s v="Derek Fisher (minors)"/>
        <s v="Mike Papi (minors)"/>
        <s v="Braxton Davidson (minors)"/>
        <s v="Chase Vallot (minors)"/>
        <s v="Jake Gatewood (minors)"/>
        <s v="Adley Rutschman (minors)"/>
        <s v="Bobby Witt Jr. (minors)"/>
        <s v="Andrew Vaughn (minors)"/>
        <s v="JJ Bleday (minors)"/>
        <s v="Riley Greene (minors)"/>
        <s v="CJ Abrams (minors)"/>
        <s v="Josh Jung (minors)"/>
        <s v="Shea Langeliers (minors)"/>
        <s v="Hunter Bishop (minors)"/>
        <s v="Brett Baty (minors)"/>
        <s v="Keoni Cavaco (minors)"/>
        <s v="Bryson Stott (minors)"/>
        <s v="Will Wilson (minors)"/>
        <s v="Corbin Carroll (minors)"/>
        <s v="Braden Shewmake (minors)"/>
        <s v="Greg Jones (minors)"/>
        <s v="Michael Toglia (minors)"/>
        <s v="Kody Hoese (minors)"/>
        <s v="Logan Davidson (minors)"/>
        <s v="Anthony Volpe (minors)"/>
        <s v="Michael Busch (minors)"/>
        <s v="Korey Lee (minors)"/>
        <s v="Kameron Misner (minors)"/>
        <s v="Sammy Siani (minors)"/>
        <s v="Matt Wallner (minors)"/>
        <s v="Davis Wendzel (minors)"/>
        <s v="Nick Lodolo (minors)"/>
        <s v="Alek Manoah (minors)"/>
        <s v="Jackson Rutledge (minors)"/>
        <s v="Quinn Priester (minors)"/>
        <s v="Zack Thompson (minors)"/>
        <s v="George Kirby (minors)"/>
        <s v="Daniel Espino (minors)"/>
        <s v="Blake Walston (minors)"/>
        <s v="Ryan Jensen (minors)"/>
        <s v="Ethan Small (minors)"/>
        <s v="Brennan Malone (minors)"/>
        <s v="Drey Jameson (minors)"/>
        <s v="JJ Goss (minors)"/>
        <s v="T.J. Sikkema (minors)"/>
        <s v="Seth Johnson (minors)"/>
      </sharedItems>
    </cacheField>
    <cacheField name="Team" numFmtId="0">
      <sharedItems count="30">
        <s v="Astros"/>
        <s v="Marlins"/>
        <s v="Brewers"/>
        <s v="White Sox"/>
        <s v="Phillies"/>
        <s v="Rockies"/>
        <s v="Blue Jays"/>
        <s v="Giants"/>
        <s v="Angels"/>
        <s v="Diamondbacks"/>
        <s v="Royals"/>
        <s v="Nationals"/>
        <s v="Reds"/>
        <s v="Dodgers"/>
        <s v="Cardinals"/>
        <s v="Rangers"/>
        <s v="Indians"/>
        <s v="Red Sox"/>
        <s v="Cubs"/>
        <s v="Twins"/>
        <s v="Mariners"/>
        <s v="Mets"/>
        <s v="Padres"/>
        <s v="Rays"/>
        <s v="Tigers"/>
        <s v="Pirates"/>
        <s v="Athletics"/>
        <s v="Braves"/>
        <s v="Orioles"/>
        <s v="Yankees"/>
      </sharedItems>
    </cacheField>
    <cacheField name="Draft Year" numFmtId="0">
      <sharedItems containsSemiMixedTypes="0" containsString="0" containsNumber="1" containsInteger="1" minValue="2014" maxValue="2019" count="2">
        <n v="2014"/>
        <n v="2019"/>
      </sharedItems>
    </cacheField>
    <cacheField name="Draft Pos" numFmtId="0">
      <sharedItems count="8">
        <s v="LHP"/>
        <s v="RHP"/>
        <s v="C"/>
        <s v="SS"/>
        <s v="OF"/>
        <s v="1B"/>
        <s v="3B"/>
        <s v="2B"/>
      </sharedItems>
    </cacheField>
    <cacheField name="Position Played" numFmtId="0">
      <sharedItems count="2">
        <s v="Pitcher"/>
        <s v="Position Player"/>
      </sharedItems>
    </cacheField>
    <cacheField name="WAR" numFmtId="0">
      <sharedItems containsSemiMixedTypes="0" containsString="0" containsNumber="1" minValue="-2.6" maxValue="35.4" count="46">
        <n v="0"/>
        <n v="16.100000000000001"/>
        <n v="33.1"/>
        <n v="17.2"/>
        <n v="2.8"/>
        <n v="-1.2"/>
        <n v="2.4"/>
        <n v="0.3"/>
        <n v="2.2000000000000002"/>
        <n v="3.7"/>
        <n v="1.9"/>
        <n v="-0.1"/>
        <n v="-0.9"/>
        <n v="4.9000000000000004"/>
        <n v="12.3"/>
        <n v="13.7"/>
        <n v="0.4"/>
        <n v="-1.7"/>
        <n v="16.600000000000001"/>
        <n v="35.4"/>
        <n v="2.9"/>
        <n v="-0.3"/>
        <n v="-2.6"/>
        <n v="34.5"/>
        <n v="0.2"/>
        <n v="-0.2"/>
        <n v="3.8"/>
        <n v="12.5"/>
        <n v="12.4"/>
        <n v="0.6"/>
        <n v="1.6"/>
        <n v="7"/>
        <n v="3"/>
        <n v="3.3"/>
        <n v="-0.7"/>
        <n v="7.8"/>
        <n v="7.2"/>
        <n v="0.1"/>
        <n v="-0.4"/>
        <n v="6.1"/>
        <n v="-1"/>
        <n v="4.2"/>
        <n v="7.5"/>
        <n v="-1.3"/>
        <n v="8.1999999999999993"/>
        <n v="2"/>
      </sharedItems>
    </cacheField>
    <cacheField name="Games Played - MLB" numFmtId="0">
      <sharedItems containsSemiMixedTypes="0" containsString="0" containsNumber="1" containsInteger="1" minValue="0" maxValue="1058"/>
    </cacheField>
    <cacheField name="W - MLB" numFmtId="0">
      <sharedItems containsSemiMixedTypes="0" containsString="0" containsNumber="1" containsInteger="1" minValue="0" maxValue="4266"/>
    </cacheField>
    <cacheField name="L - MLB" numFmtId="0">
      <sharedItems containsSemiMixedTypes="0" containsString="0" containsNumber="1" containsInteger="1" minValue="0" maxValue="263"/>
    </cacheField>
    <cacheField name="ERA - MLB" numFmtId="0">
      <sharedItems containsSemiMixedTypes="0" containsString="0" containsNumber="1" minValue="0" maxValue="8.7100000000000009"/>
    </cacheField>
    <cacheField name="WHIP - MLB" numFmtId="0">
      <sharedItems containsSemiMixedTypes="0" containsString="0" containsNumber="1" minValue="0" maxValue="2.61"/>
    </cacheField>
    <cacheField name="Games (Pitchers) - Minors" numFmtId="0">
      <sharedItems containsSemiMixedTypes="0" containsString="0" containsNumber="1" containsInteger="1" minValue="16" maxValue="874"/>
    </cacheField>
    <cacheField name="W - Minors" numFmtId="0">
      <sharedItems containsSemiMixedTypes="0" containsString="0" containsNumber="1" containsInteger="1" minValue="2" maxValue="3290"/>
    </cacheField>
    <cacheField name="L - Minors" numFmtId="0">
      <sharedItems containsSemiMixedTypes="0" containsString="0" containsNumber="1" containsInteger="1" minValue="2" maxValue="124"/>
    </cacheField>
    <cacheField name="ERA - Minors" numFmtId="0">
      <sharedItems containsSemiMixedTypes="0" containsString="0" containsNumber="1" minValue="0.17399999999999999" maxValue="6.28"/>
    </cacheField>
    <cacheField name="WHIP - Minors" numFmtId="0">
      <sharedItems containsSemiMixedTypes="0" containsString="0" containsNumber="1" minValue="0.51900000000000002" maxValue="1.84"/>
    </cacheField>
    <cacheField name="All-Star Appearances" numFmtId="0">
      <sharedItems containsSemiMixedTypes="0" containsString="0" containsNumber="1" containsInteger="1" minValue="0" maxValue="3" count="4">
        <n v="0"/>
        <n v="1"/>
        <n v="2"/>
        <n v="3"/>
      </sharedItems>
    </cacheField>
    <cacheField name="WAR Succes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2">
  <r>
    <x v="0"/>
    <x v="0"/>
    <x v="0"/>
    <x v="0"/>
    <x v="0"/>
    <x v="0"/>
    <n v="0"/>
    <n v="0"/>
    <n v="0"/>
    <n v="0"/>
    <n v="0"/>
    <n v="43"/>
    <n v="7"/>
    <n v="18"/>
    <n v="5.18"/>
    <n v="1.76"/>
    <x v="0"/>
    <n v="0"/>
  </r>
  <r>
    <x v="1"/>
    <x v="1"/>
    <x v="0"/>
    <x v="1"/>
    <x v="0"/>
    <x v="0"/>
    <n v="0"/>
    <n v="0"/>
    <n v="0"/>
    <n v="0"/>
    <n v="0"/>
    <n v="64"/>
    <n v="6"/>
    <n v="16"/>
    <n v="5.66"/>
    <n v="1.7290000000000001"/>
    <x v="0"/>
    <n v="0"/>
  </r>
  <r>
    <x v="2"/>
    <x v="2"/>
    <x v="0"/>
    <x v="0"/>
    <x v="0"/>
    <x v="0"/>
    <n v="0"/>
    <n v="0"/>
    <n v="0"/>
    <n v="0"/>
    <n v="0"/>
    <n v="179"/>
    <n v="27"/>
    <n v="44"/>
    <n v="4.91"/>
    <n v="1.5"/>
    <x v="0"/>
    <n v="0"/>
  </r>
  <r>
    <x v="3"/>
    <x v="3"/>
    <x v="0"/>
    <x v="0"/>
    <x v="0"/>
    <x v="1"/>
    <n v="184"/>
    <n v="68"/>
    <n v="60"/>
    <n v="3.89"/>
    <n v="1.25"/>
    <n v="23"/>
    <n v="2"/>
    <n v="6"/>
    <n v="3.98"/>
    <n v="1.27"/>
    <x v="1"/>
    <n v="1"/>
  </r>
  <r>
    <x v="4"/>
    <x v="4"/>
    <x v="0"/>
    <x v="1"/>
    <x v="0"/>
    <x v="2"/>
    <n v="252"/>
    <n v="99"/>
    <n v="75"/>
    <n v="3.7"/>
    <n v="1.1200000000000001"/>
    <n v="32"/>
    <n v="15"/>
    <n v="7"/>
    <n v="2.4700000000000002"/>
    <n v="1.034"/>
    <x v="2"/>
    <n v="1"/>
  </r>
  <r>
    <x v="5"/>
    <x v="5"/>
    <x v="0"/>
    <x v="0"/>
    <x v="0"/>
    <x v="3"/>
    <n v="190"/>
    <n v="55"/>
    <n v="68"/>
    <n v="4.49"/>
    <n v="1.43"/>
    <n v="56"/>
    <n v="18"/>
    <n v="17"/>
    <n v="3.93"/>
    <n v="1.2709999999999999"/>
    <x v="0"/>
    <n v="1"/>
  </r>
  <r>
    <x v="6"/>
    <x v="6"/>
    <x v="0"/>
    <x v="1"/>
    <x v="0"/>
    <x v="4"/>
    <n v="225"/>
    <n v="23"/>
    <n v="24"/>
    <n v="4.92"/>
    <n v="1.45"/>
    <n v="105"/>
    <n v="26"/>
    <n v="36"/>
    <n v="4.76"/>
    <n v="1.359"/>
    <x v="0"/>
    <n v="0"/>
  </r>
  <r>
    <x v="7"/>
    <x v="7"/>
    <x v="0"/>
    <x v="1"/>
    <x v="0"/>
    <x v="5"/>
    <n v="71"/>
    <n v="8"/>
    <n v="16"/>
    <n v="5.55"/>
    <n v="1.58"/>
    <n v="137"/>
    <n v="25"/>
    <n v="45"/>
    <n v="4.4400000000000004"/>
    <n v="1.58"/>
    <x v="0"/>
    <n v="0"/>
  </r>
  <r>
    <x v="8"/>
    <x v="8"/>
    <x v="0"/>
    <x v="0"/>
    <x v="0"/>
    <x v="6"/>
    <n v="175"/>
    <n v="28"/>
    <n v="25"/>
    <n v="4.51"/>
    <n v="1.47"/>
    <n v="175"/>
    <n v="28"/>
    <n v="25"/>
    <n v="4.51"/>
    <n v="1.47"/>
    <x v="0"/>
    <n v="0"/>
  </r>
  <r>
    <x v="9"/>
    <x v="9"/>
    <x v="0"/>
    <x v="1"/>
    <x v="0"/>
    <x v="7"/>
    <n v="77"/>
    <n v="14"/>
    <n v="14"/>
    <n v="5.21"/>
    <n v="1.47"/>
    <n v="183"/>
    <n v="36"/>
    <n v="51"/>
    <n v="4.43"/>
    <n v="1.4"/>
    <x v="0"/>
    <n v="0"/>
  </r>
  <r>
    <x v="10"/>
    <x v="10"/>
    <x v="0"/>
    <x v="0"/>
    <x v="0"/>
    <x v="8"/>
    <n v="67"/>
    <n v="16"/>
    <n v="18"/>
    <n v="4.1100000000000003"/>
    <n v="1.39"/>
    <n v="147"/>
    <n v="8"/>
    <n v="25"/>
    <n v="5.55"/>
    <n v="1.63"/>
    <x v="0"/>
    <n v="0"/>
  </r>
  <r>
    <x v="11"/>
    <x v="11"/>
    <x v="0"/>
    <x v="1"/>
    <x v="0"/>
    <x v="9"/>
    <n v="120"/>
    <n v="27"/>
    <n v="36"/>
    <n v="4.9800000000000004"/>
    <n v="1.45"/>
    <n v="89"/>
    <n v="23"/>
    <n v="19"/>
    <n v="3.69"/>
    <n v="1.25"/>
    <x v="0"/>
    <n v="0"/>
  </r>
  <r>
    <x v="12"/>
    <x v="12"/>
    <x v="0"/>
    <x v="1"/>
    <x v="0"/>
    <x v="0"/>
    <n v="0"/>
    <n v="0"/>
    <n v="0"/>
    <n v="0"/>
    <n v="0"/>
    <n v="173"/>
    <n v="11"/>
    <n v="12"/>
    <n v="5.5"/>
    <n v="1.84"/>
    <x v="0"/>
    <n v="0"/>
  </r>
  <r>
    <x v="13"/>
    <x v="13"/>
    <x v="0"/>
    <x v="1"/>
    <x v="0"/>
    <x v="7"/>
    <n v="6"/>
    <n v="0"/>
    <n v="0"/>
    <n v="1.42"/>
    <n v="0.87"/>
    <n v="250"/>
    <n v="48"/>
    <n v="41"/>
    <n v="4.47"/>
    <n v="1.43"/>
    <x v="0"/>
    <n v="0"/>
  </r>
  <r>
    <x v="14"/>
    <x v="14"/>
    <x v="0"/>
    <x v="1"/>
    <x v="0"/>
    <x v="10"/>
    <n v="175"/>
    <n v="31"/>
    <n v="43"/>
    <n v="4.95"/>
    <n v="1.39"/>
    <n v="61"/>
    <n v="25"/>
    <n v="11"/>
    <n v="2.13"/>
    <n v="1.07"/>
    <x v="0"/>
    <n v="0"/>
  </r>
  <r>
    <x v="15"/>
    <x v="10"/>
    <x v="0"/>
    <x v="0"/>
    <x v="0"/>
    <x v="11"/>
    <n v="7"/>
    <n v="1"/>
    <n v="0"/>
    <n v="6.75"/>
    <n v="1.5"/>
    <n v="193"/>
    <n v="49"/>
    <n v="49"/>
    <n v="4.54"/>
    <n v="1.44"/>
    <x v="0"/>
    <n v="0"/>
  </r>
  <r>
    <x v="16"/>
    <x v="15"/>
    <x v="0"/>
    <x v="1"/>
    <x v="0"/>
    <x v="0"/>
    <n v="24"/>
    <n v="0"/>
    <n v="2"/>
    <n v="4.76"/>
    <n v="1.71"/>
    <n v="62"/>
    <n v="5"/>
    <n v="16"/>
    <n v="6.28"/>
    <n v="1.83"/>
    <x v="0"/>
    <n v="0"/>
  </r>
  <r>
    <x v="17"/>
    <x v="16"/>
    <x v="0"/>
    <x v="0"/>
    <x v="0"/>
    <x v="12"/>
    <n v="48"/>
    <n v="12"/>
    <n v="12"/>
    <n v="5.47"/>
    <n v="1.63"/>
    <n v="186"/>
    <n v="52"/>
    <n v="49"/>
    <n v="4.2"/>
    <n v="1.63"/>
    <x v="0"/>
    <n v="0"/>
  </r>
  <r>
    <x v="18"/>
    <x v="17"/>
    <x v="0"/>
    <x v="1"/>
    <x v="0"/>
    <x v="13"/>
    <n v="139"/>
    <n v="17"/>
    <n v="32"/>
    <n v="4.3499999999999996"/>
    <n v="1.35"/>
    <n v="77"/>
    <n v="24"/>
    <n v="21"/>
    <n v="2.99"/>
    <n v="1.2"/>
    <x v="0"/>
    <n v="1"/>
  </r>
  <r>
    <x v="19"/>
    <x v="14"/>
    <x v="0"/>
    <x v="1"/>
    <x v="0"/>
    <x v="14"/>
    <n v="146"/>
    <n v="47"/>
    <n v="39"/>
    <n v="3.69"/>
    <n v="1.19"/>
    <n v="90"/>
    <n v="34"/>
    <n v="20"/>
    <n v="2.79"/>
    <n v="1.1599999999999999"/>
    <x v="1"/>
    <n v="1"/>
  </r>
  <r>
    <x v="20"/>
    <x v="18"/>
    <x v="0"/>
    <x v="2"/>
    <x v="1"/>
    <x v="15"/>
    <n v="1058"/>
    <n v="3667"/>
    <n v="263"/>
    <n v="0.22900000000000001"/>
    <n v="0.83"/>
    <n v="158"/>
    <n v="554"/>
    <n v="38"/>
    <n v="0.33666666666666667"/>
    <n v="1.0916666666666668"/>
    <x v="2"/>
    <n v="1"/>
  </r>
  <r>
    <x v="21"/>
    <x v="19"/>
    <x v="0"/>
    <x v="3"/>
    <x v="1"/>
    <x v="16"/>
    <n v="317"/>
    <n v="903"/>
    <n v="23"/>
    <n v="0.246"/>
    <n v="0.67900000000000005"/>
    <n v="650"/>
    <n v="2623"/>
    <n v="28"/>
    <n v="0.27500000000000002"/>
    <n v="0.71399999999999997"/>
    <x v="0"/>
    <n v="0"/>
  </r>
  <r>
    <x v="22"/>
    <x v="20"/>
    <x v="0"/>
    <x v="4"/>
    <x v="1"/>
    <x v="17"/>
    <n v="97"/>
    <n v="236"/>
    <n v="4"/>
    <n v="0.11899999999999999"/>
    <n v="0.41099999999999998"/>
    <n v="615"/>
    <n v="2217"/>
    <n v="112"/>
    <n v="0.24299999999999999"/>
    <n v="0.78600000000000003"/>
    <x v="0"/>
    <n v="0"/>
  </r>
  <r>
    <x v="23"/>
    <x v="21"/>
    <x v="0"/>
    <x v="4"/>
    <x v="1"/>
    <x v="18"/>
    <n v="946"/>
    <n v="3175"/>
    <n v="156"/>
    <n v="0.251"/>
    <n v="0.80500000000000005"/>
    <n v="172"/>
    <n v="668"/>
    <n v="24"/>
    <n v="0.32900000000000001"/>
    <n v="0.91900000000000004"/>
    <x v="1"/>
    <n v="1"/>
  </r>
  <r>
    <x v="24"/>
    <x v="6"/>
    <x v="0"/>
    <x v="2"/>
    <x v="1"/>
    <x v="0"/>
    <n v="0"/>
    <n v="0"/>
    <n v="0"/>
    <n v="0"/>
    <n v="0"/>
    <n v="260"/>
    <n v="1025"/>
    <n v="29"/>
    <n v="0.28000000000000003"/>
    <n v="0.75800000000000001"/>
    <x v="0"/>
    <n v="0"/>
  </r>
  <r>
    <x v="25"/>
    <x v="22"/>
    <x v="0"/>
    <x v="3"/>
    <x v="1"/>
    <x v="19"/>
    <n v="1052"/>
    <n v="4266"/>
    <n v="155"/>
    <n v="0.29799999999999999"/>
    <n v="0.83399999999999996"/>
    <n v="277"/>
    <n v="1093"/>
    <n v="19"/>
    <n v="0.31"/>
    <n v="0.82499999999999996"/>
    <x v="2"/>
    <n v="1"/>
  </r>
  <r>
    <x v="26"/>
    <x v="23"/>
    <x v="0"/>
    <x v="5"/>
    <x v="1"/>
    <x v="0"/>
    <n v="0"/>
    <n v="0"/>
    <n v="0"/>
    <n v="0"/>
    <n v="0"/>
    <n v="478"/>
    <n v="1729"/>
    <n v="60"/>
    <n v="0.25"/>
    <n v="0.755"/>
    <x v="0"/>
    <n v="0"/>
  </r>
  <r>
    <x v="27"/>
    <x v="16"/>
    <x v="0"/>
    <x v="4"/>
    <x v="1"/>
    <x v="20"/>
    <n v="372"/>
    <n v="859"/>
    <n v="21"/>
    <n v="0.21299999999999999"/>
    <n v="0.63100000000000001"/>
    <n v="461"/>
    <n v="1651"/>
    <n v="55"/>
    <n v="0.26100000000000001"/>
    <n v="0.80100000000000005"/>
    <x v="0"/>
    <n v="0"/>
  </r>
  <r>
    <x v="28"/>
    <x v="24"/>
    <x v="0"/>
    <x v="4"/>
    <x v="1"/>
    <x v="21"/>
    <n v="119"/>
    <n v="309"/>
    <n v="7"/>
    <n v="0.23"/>
    <n v="0.61699999999999999"/>
    <n v="712"/>
    <n v="2674"/>
    <n v="53"/>
    <n v="0.26100000000000001"/>
    <n v="0.72399999999999998"/>
    <x v="0"/>
    <n v="0"/>
  </r>
  <r>
    <x v="29"/>
    <x v="25"/>
    <x v="0"/>
    <x v="3"/>
    <x v="1"/>
    <x v="22"/>
    <n v="183"/>
    <n v="494"/>
    <n v="5"/>
    <n v="0.21299999999999999"/>
    <n v="0.58199999999999996"/>
    <n v="715"/>
    <n v="2777"/>
    <n v="40"/>
    <n v="0.26100000000000001"/>
    <n v="0.71599999999999997"/>
    <x v="0"/>
    <n v="0"/>
  </r>
  <r>
    <x v="30"/>
    <x v="26"/>
    <x v="0"/>
    <x v="6"/>
    <x v="1"/>
    <x v="23"/>
    <n v="953"/>
    <n v="3464"/>
    <n v="167"/>
    <n v="0.24099999999999999"/>
    <n v="0.78700000000000003"/>
    <n v="321"/>
    <n v="1211"/>
    <n v="80"/>
    <n v="0.24399999999999999"/>
    <n v="0.84399999999999997"/>
    <x v="3"/>
    <n v="1"/>
  </r>
  <r>
    <x v="31"/>
    <x v="17"/>
    <x v="0"/>
    <x v="3"/>
    <x v="1"/>
    <x v="24"/>
    <n v="357"/>
    <n v="1106"/>
    <n v="42"/>
    <n v="0.23799999999999999"/>
    <n v="0.68500000000000005"/>
    <n v="543"/>
    <n v="2056"/>
    <n v="97"/>
    <n v="0.26100000000000001"/>
    <n v="0.80400000000000005"/>
    <x v="0"/>
    <n v="0"/>
  </r>
  <r>
    <x v="32"/>
    <x v="12"/>
    <x v="0"/>
    <x v="3"/>
    <x v="1"/>
    <x v="25"/>
    <n v="135"/>
    <n v="234"/>
    <n v="2"/>
    <n v="0.22700000000000001"/>
    <n v="0.63"/>
    <n v="573"/>
    <n v="1978"/>
    <n v="47"/>
    <n v="0.247"/>
    <n v="0.753"/>
    <x v="0"/>
    <n v="0"/>
  </r>
  <r>
    <x v="33"/>
    <x v="27"/>
    <x v="0"/>
    <x v="4"/>
    <x v="1"/>
    <x v="26"/>
    <n v="390"/>
    <n v="1266"/>
    <n v="33"/>
    <n v="0.247"/>
    <n v="0.73899999999999999"/>
    <n v="521"/>
    <n v="1802"/>
    <n v="52"/>
    <n v="0.27400000000000002"/>
    <n v="0.81299999999999994"/>
    <x v="0"/>
    <n v="0"/>
  </r>
  <r>
    <x v="34"/>
    <x v="5"/>
    <x v="0"/>
    <x v="7"/>
    <x v="1"/>
    <x v="7"/>
    <n v="28"/>
    <n v="42"/>
    <n v="1"/>
    <n v="0.31"/>
    <n v="0.81200000000000006"/>
    <n v="874"/>
    <n v="3290"/>
    <n v="60"/>
    <n v="0.27200000000000002"/>
    <n v="0.755"/>
    <x v="0"/>
    <n v="0"/>
  </r>
  <r>
    <x v="35"/>
    <x v="1"/>
    <x v="0"/>
    <x v="2"/>
    <x v="1"/>
    <x v="0"/>
    <n v="0"/>
    <n v="0"/>
    <n v="0"/>
    <n v="0"/>
    <n v="0"/>
    <n v="67"/>
    <n v="196"/>
    <n v="2"/>
    <n v="0.17399999999999999"/>
    <n v="0.51900000000000002"/>
    <x v="0"/>
    <n v="0"/>
  </r>
  <r>
    <x v="36"/>
    <x v="0"/>
    <x v="0"/>
    <x v="4"/>
    <x v="1"/>
    <x v="24"/>
    <n v="172"/>
    <n v="410"/>
    <n v="17"/>
    <n v="0.19500000000000001"/>
    <n v="0.66300000000000003"/>
    <n v="557"/>
    <n v="2107"/>
    <n v="94"/>
    <n v="0.27100000000000002"/>
    <n v="0.83699999999999997"/>
    <x v="0"/>
    <n v="0"/>
  </r>
  <r>
    <x v="37"/>
    <x v="16"/>
    <x v="0"/>
    <x v="4"/>
    <x v="1"/>
    <x v="0"/>
    <n v="0"/>
    <n v="0"/>
    <n v="0"/>
    <n v="0"/>
    <n v="0"/>
    <n v="520"/>
    <n v="1706"/>
    <n v="41"/>
    <n v="0.23499999999999999"/>
    <n v="0.72699999999999998"/>
    <x v="0"/>
    <n v="0"/>
  </r>
  <r>
    <x v="38"/>
    <x v="25"/>
    <x v="0"/>
    <x v="4"/>
    <x v="1"/>
    <x v="0"/>
    <n v="0"/>
    <n v="0"/>
    <n v="0"/>
    <n v="0"/>
    <n v="0"/>
    <n v="534"/>
    <n v="1754"/>
    <n v="47"/>
    <n v="0.21299999999999999"/>
    <n v="0.69"/>
    <x v="0"/>
    <n v="0"/>
  </r>
  <r>
    <x v="39"/>
    <x v="10"/>
    <x v="0"/>
    <x v="2"/>
    <x v="1"/>
    <x v="0"/>
    <n v="0"/>
    <n v="0"/>
    <n v="0"/>
    <n v="0"/>
    <n v="0"/>
    <n v="471"/>
    <n v="1590"/>
    <n v="73"/>
    <n v="0.214"/>
    <n v="0.76"/>
    <x v="0"/>
    <n v="0"/>
  </r>
  <r>
    <x v="40"/>
    <x v="2"/>
    <x v="0"/>
    <x v="3"/>
    <x v="1"/>
    <x v="0"/>
    <n v="0"/>
    <n v="0"/>
    <n v="0"/>
    <n v="0"/>
    <n v="0"/>
    <n v="831"/>
    <n v="3150"/>
    <n v="124"/>
    <n v="0.23100000000000001"/>
    <n v="0.69699999999999995"/>
    <x v="0"/>
    <n v="0"/>
  </r>
  <r>
    <x v="41"/>
    <x v="28"/>
    <x v="1"/>
    <x v="2"/>
    <x v="1"/>
    <x v="27"/>
    <n v="368"/>
    <n v="1389"/>
    <n v="50"/>
    <n v="0.26600000000000001"/>
    <n v="0.79100000000000004"/>
    <n v="180"/>
    <n v="651"/>
    <n v="30"/>
    <n v="0.28100000000000003"/>
    <n v="0.877"/>
    <x v="2"/>
    <n v="1"/>
  </r>
  <r>
    <x v="42"/>
    <x v="10"/>
    <x v="1"/>
    <x v="3"/>
    <x v="1"/>
    <x v="28"/>
    <n v="418"/>
    <n v="1669"/>
    <n v="70"/>
    <n v="0.28799999999999998"/>
    <n v="0.83099999999999996"/>
    <n v="160"/>
    <n v="661"/>
    <n v="34"/>
    <n v="0.28299999999999997"/>
    <n v="0.87"/>
    <x v="1"/>
    <n v="1"/>
  </r>
  <r>
    <x v="43"/>
    <x v="3"/>
    <x v="1"/>
    <x v="5"/>
    <x v="1"/>
    <x v="29"/>
    <n v="514"/>
    <n v="1877"/>
    <n v="66"/>
    <n v="0.251"/>
    <n v="0.72199999999999998"/>
    <n v="57"/>
    <n v="212"/>
    <n v="8"/>
    <n v="0.27800000000000002"/>
    <n v="0.85799999999999998"/>
    <x v="0"/>
    <n v="0"/>
  </r>
  <r>
    <x v="44"/>
    <x v="1"/>
    <x v="1"/>
    <x v="4"/>
    <x v="1"/>
    <x v="30"/>
    <n v="255"/>
    <n v="846"/>
    <n v="28"/>
    <n v="0.20799999999999999"/>
    <n v="0.68700000000000006"/>
    <n v="261"/>
    <n v="947"/>
    <n v="43"/>
    <n v="0.23799999999999999"/>
    <n v="0.78700000000000003"/>
    <x v="0"/>
    <n v="0"/>
  </r>
  <r>
    <x v="45"/>
    <x v="24"/>
    <x v="1"/>
    <x v="4"/>
    <x v="1"/>
    <x v="31"/>
    <n v="293"/>
    <n v="1125"/>
    <n v="33"/>
    <n v="0.26800000000000002"/>
    <n v="0.77300000000000002"/>
    <n v="201"/>
    <n v="786"/>
    <n v="31"/>
    <n v="0.29399999999999998"/>
    <n v="0.86299999999999999"/>
    <x v="1"/>
    <n v="1"/>
  </r>
  <r>
    <x v="46"/>
    <x v="22"/>
    <x v="1"/>
    <x v="3"/>
    <x v="1"/>
    <x v="31"/>
    <n v="342"/>
    <n v="1249"/>
    <n v="35"/>
    <n v="0.249"/>
    <n v="0.71099999999999997"/>
    <n v="114"/>
    <n v="483"/>
    <n v="12"/>
    <n v="0.33100000000000002"/>
    <n v="0.89600000000000002"/>
    <x v="1"/>
    <n v="1"/>
  </r>
  <r>
    <x v="47"/>
    <x v="15"/>
    <x v="1"/>
    <x v="6"/>
    <x v="1"/>
    <x v="32"/>
    <n v="154"/>
    <n v="599"/>
    <n v="30"/>
    <n v="0.25900000000000001"/>
    <n v="0.77400000000000002"/>
    <n v="160"/>
    <n v="629"/>
    <n v="30"/>
    <n v="0.31"/>
    <n v="0.90800000000000003"/>
    <x v="1"/>
    <n v="1"/>
  </r>
  <r>
    <x v="48"/>
    <x v="27"/>
    <x v="1"/>
    <x v="2"/>
    <x v="1"/>
    <x v="33"/>
    <n v="267"/>
    <n v="912"/>
    <n v="48"/>
    <n v="0.21099999999999999"/>
    <n v="0.69699999999999995"/>
    <n v="243"/>
    <n v="909"/>
    <n v="43"/>
    <n v="0.26600000000000001"/>
    <n v="0.80600000000000005"/>
    <x v="0"/>
    <n v="1"/>
  </r>
  <r>
    <x v="49"/>
    <x v="7"/>
    <x v="1"/>
    <x v="4"/>
    <x v="1"/>
    <x v="0"/>
    <n v="0"/>
    <n v="0"/>
    <n v="0"/>
    <n v="0"/>
    <n v="0"/>
    <n v="217"/>
    <n v="776"/>
    <n v="26"/>
    <n v="0.22700000000000001"/>
    <n v="0.71899999999999997"/>
    <x v="0"/>
    <n v="0"/>
  </r>
  <r>
    <x v="50"/>
    <x v="21"/>
    <x v="1"/>
    <x v="6"/>
    <x v="1"/>
    <x v="34"/>
    <n v="169"/>
    <n v="544"/>
    <n v="15"/>
    <n v="0.215"/>
    <n v="0.60699999999999998"/>
    <n v="309"/>
    <n v="1159"/>
    <n v="59"/>
    <n v="0.28599999999999998"/>
    <n v="0.89100000000000001"/>
    <x v="0"/>
    <n v="0"/>
  </r>
  <r>
    <x v="51"/>
    <x v="19"/>
    <x v="1"/>
    <x v="3"/>
    <x v="1"/>
    <x v="0"/>
    <n v="0"/>
    <n v="0"/>
    <n v="0"/>
    <n v="0"/>
    <n v="0"/>
    <n v="284"/>
    <n v="1021"/>
    <n v="23"/>
    <n v="0.21199999999999999"/>
    <n v="0.60199999999999998"/>
    <x v="0"/>
    <n v="0"/>
  </r>
  <r>
    <x v="52"/>
    <x v="4"/>
    <x v="1"/>
    <x v="3"/>
    <x v="1"/>
    <x v="35"/>
    <n v="378"/>
    <n v="1347"/>
    <n v="32"/>
    <n v="0.25800000000000001"/>
    <n v="0.70299999999999996"/>
    <n v="169"/>
    <n v="620"/>
    <n v="24"/>
    <n v="0.3"/>
    <n v="0.88400000000000001"/>
    <x v="0"/>
    <n v="1"/>
  </r>
  <r>
    <x v="53"/>
    <x v="8"/>
    <x v="1"/>
    <x v="3"/>
    <x v="1"/>
    <x v="0"/>
    <n v="0"/>
    <n v="0"/>
    <n v="0"/>
    <n v="0"/>
    <n v="0"/>
    <n v="432"/>
    <n v="1599"/>
    <n v="56"/>
    <n v="0.23300000000000001"/>
    <n v="0.70399999999999996"/>
    <x v="0"/>
    <n v="0"/>
  </r>
  <r>
    <x v="54"/>
    <x v="9"/>
    <x v="1"/>
    <x v="4"/>
    <x v="1"/>
    <x v="36"/>
    <n v="292"/>
    <n v="1060"/>
    <n v="37"/>
    <n v="0.25700000000000001"/>
    <n v="0.78900000000000003"/>
    <n v="142"/>
    <n v="539"/>
    <n v="28"/>
    <n v="0.31"/>
    <n v="1.014"/>
    <x v="1"/>
    <n v="1"/>
  </r>
  <r>
    <x v="55"/>
    <x v="27"/>
    <x v="1"/>
    <x v="3"/>
    <x v="1"/>
    <x v="34"/>
    <n v="31"/>
    <n v="68"/>
    <n v="1"/>
    <n v="0.11799999999999999"/>
    <n v="0.318"/>
    <n v="356"/>
    <n v="1356"/>
    <n v="38"/>
    <n v="0.248"/>
    <n v="0.70799999999999996"/>
    <x v="0"/>
    <n v="0"/>
  </r>
  <r>
    <x v="56"/>
    <x v="23"/>
    <x v="1"/>
    <x v="3"/>
    <x v="1"/>
    <x v="37"/>
    <n v="6"/>
    <n v="5"/>
    <n v="1"/>
    <n v="0.2"/>
    <n v="1.133"/>
    <n v="321"/>
    <n v="1241"/>
    <n v="40"/>
    <n v="0.26400000000000001"/>
    <n v="0.78700000000000003"/>
    <x v="0"/>
    <n v="0"/>
  </r>
  <r>
    <x v="57"/>
    <x v="5"/>
    <x v="1"/>
    <x v="5"/>
    <x v="1"/>
    <x v="38"/>
    <n v="140"/>
    <n v="473"/>
    <n v="25"/>
    <n v="0.19900000000000001"/>
    <n v="0.67"/>
    <n v="378"/>
    <n v="1426"/>
    <n v="86"/>
    <n v="0.247"/>
    <n v="0.83399999999999996"/>
    <x v="0"/>
    <n v="0"/>
  </r>
  <r>
    <x v="58"/>
    <x v="13"/>
    <x v="1"/>
    <x v="6"/>
    <x v="1"/>
    <x v="0"/>
    <n v="0"/>
    <n v="0"/>
    <n v="0"/>
    <n v="0"/>
    <n v="0"/>
    <n v="377"/>
    <n v="1385"/>
    <n v="36"/>
    <n v="0.248"/>
    <n v="0.69"/>
    <x v="0"/>
    <n v="0"/>
  </r>
  <r>
    <x v="59"/>
    <x v="26"/>
    <x v="1"/>
    <x v="3"/>
    <x v="1"/>
    <x v="0"/>
    <n v="0"/>
    <n v="0"/>
    <n v="0"/>
    <n v="0"/>
    <n v="0"/>
    <n v="450"/>
    <n v="1661"/>
    <n v="42"/>
    <n v="0.249"/>
    <n v="0.72"/>
    <x v="0"/>
    <n v="0"/>
  </r>
  <r>
    <x v="60"/>
    <x v="29"/>
    <x v="1"/>
    <x v="3"/>
    <x v="1"/>
    <x v="39"/>
    <n v="268"/>
    <n v="996"/>
    <n v="30"/>
    <n v="0.23"/>
    <n v="0.67800000000000005"/>
    <n v="275"/>
    <n v="1044"/>
    <n v="50"/>
    <n v="0.26200000000000001"/>
    <n v="0.88100000000000001"/>
    <x v="0"/>
    <n v="1"/>
  </r>
  <r>
    <x v="61"/>
    <x v="13"/>
    <x v="1"/>
    <x v="7"/>
    <x v="1"/>
    <x v="8"/>
    <n v="131"/>
    <n v="407"/>
    <n v="15"/>
    <n v="0.24099999999999999"/>
    <n v="0.746"/>
    <n v="357"/>
    <n v="1375"/>
    <n v="79"/>
    <n v="0.28299999999999997"/>
    <n v="0.91900000000000004"/>
    <x v="0"/>
    <n v="0"/>
  </r>
  <r>
    <x v="62"/>
    <x v="0"/>
    <x v="1"/>
    <x v="2"/>
    <x v="1"/>
    <x v="40"/>
    <n v="122"/>
    <n v="344"/>
    <n v="10"/>
    <n v="0.183"/>
    <n v="0.53"/>
    <n v="338"/>
    <n v="1291"/>
    <n v="44"/>
    <n v="0.26300000000000001"/>
    <n v="0.75600000000000001"/>
    <x v="0"/>
    <n v="0"/>
  </r>
  <r>
    <x v="63"/>
    <x v="1"/>
    <x v="1"/>
    <x v="4"/>
    <x v="1"/>
    <x v="0"/>
    <n v="0"/>
    <n v="0"/>
    <n v="0"/>
    <n v="0"/>
    <n v="0"/>
    <n v="485"/>
    <n v="1762"/>
    <n v="66"/>
    <n v="0.246"/>
    <n v="0.80200000000000005"/>
    <x v="0"/>
    <n v="0"/>
  </r>
  <r>
    <x v="64"/>
    <x v="25"/>
    <x v="1"/>
    <x v="4"/>
    <x v="1"/>
    <x v="0"/>
    <n v="0"/>
    <n v="0"/>
    <n v="0"/>
    <n v="0"/>
    <n v="0"/>
    <n v="367"/>
    <n v="1264"/>
    <n v="32"/>
    <n v="0.23100000000000001"/>
    <n v="0.70599999999999996"/>
    <x v="0"/>
    <n v="0"/>
  </r>
  <r>
    <x v="65"/>
    <x v="19"/>
    <x v="1"/>
    <x v="4"/>
    <x v="1"/>
    <x v="32"/>
    <n v="122"/>
    <n v="339"/>
    <n v="22"/>
    <n v="0.248"/>
    <n v="0.872"/>
    <n v="395"/>
    <n v="1487"/>
    <n v="80"/>
    <n v="0.27100000000000002"/>
    <n v="0.89600000000000002"/>
    <x v="0"/>
    <n v="1"/>
  </r>
  <r>
    <x v="66"/>
    <x v="15"/>
    <x v="1"/>
    <x v="6"/>
    <x v="1"/>
    <x v="0"/>
    <n v="27"/>
    <n v="47"/>
    <n v="1"/>
    <n v="0.128"/>
    <n v="0.39700000000000002"/>
    <n v="323"/>
    <n v="1165"/>
    <n v="62"/>
    <n v="0.23400000000000001"/>
    <n v="0.78100000000000003"/>
    <x v="0"/>
    <n v="0"/>
  </r>
  <r>
    <x v="67"/>
    <x v="12"/>
    <x v="1"/>
    <x v="0"/>
    <x v="0"/>
    <x v="41"/>
    <n v="43"/>
    <n v="14"/>
    <n v="12"/>
    <n v="4.18"/>
    <n v="1.28"/>
    <n v="30"/>
    <n v="2"/>
    <n v="5"/>
    <n v="2.7"/>
    <n v="1.0900000000000001"/>
    <x v="0"/>
    <n v="1"/>
  </r>
  <r>
    <x v="68"/>
    <x v="6"/>
    <x v="1"/>
    <x v="1"/>
    <x v="0"/>
    <x v="42"/>
    <n v="75"/>
    <n v="29"/>
    <n v="20"/>
    <n v="3.34"/>
    <n v="1.1599999999999999"/>
    <n v="16"/>
    <n v="3"/>
    <n v="4"/>
    <n v="5.34"/>
    <n v="1.36"/>
    <x v="1"/>
    <n v="1"/>
  </r>
  <r>
    <x v="69"/>
    <x v="11"/>
    <x v="1"/>
    <x v="1"/>
    <x v="0"/>
    <x v="11"/>
    <n v="6"/>
    <n v="1"/>
    <n v="1"/>
    <n v="6.31"/>
    <n v="1.44"/>
    <n v="85"/>
    <n v="23"/>
    <n v="22"/>
    <n v="5.08"/>
    <n v="1.4"/>
    <x v="0"/>
    <n v="0"/>
  </r>
  <r>
    <x v="70"/>
    <x v="25"/>
    <x v="1"/>
    <x v="1"/>
    <x v="0"/>
    <x v="43"/>
    <n v="20"/>
    <n v="5"/>
    <n v="9"/>
    <n v="6.46"/>
    <n v="1.58"/>
    <n v="78"/>
    <n v="25"/>
    <n v="16"/>
    <n v="3.59"/>
    <n v="1.26"/>
    <x v="0"/>
    <n v="0"/>
  </r>
  <r>
    <x v="71"/>
    <x v="14"/>
    <x v="1"/>
    <x v="1"/>
    <x v="0"/>
    <x v="29"/>
    <n v="52"/>
    <n v="6"/>
    <n v="10"/>
    <n v="4.5"/>
    <n v="1.36"/>
    <n v="78"/>
    <n v="7"/>
    <n v="19"/>
    <n v="5.94"/>
    <n v="1.67"/>
    <x v="0"/>
    <n v="0"/>
  </r>
  <r>
    <x v="72"/>
    <x v="20"/>
    <x v="1"/>
    <x v="1"/>
    <x v="0"/>
    <x v="44"/>
    <n v="79"/>
    <n v="29"/>
    <n v="22"/>
    <n v="3.27"/>
    <n v="1.08"/>
    <n v="30"/>
    <n v="7"/>
    <n v="4"/>
    <n v="2.61"/>
    <n v="1.07"/>
    <x v="1"/>
    <n v="1"/>
  </r>
  <r>
    <x v="73"/>
    <x v="16"/>
    <x v="1"/>
    <x v="1"/>
    <x v="0"/>
    <x v="0"/>
    <n v="0"/>
    <n v="0"/>
    <n v="0"/>
    <n v="0"/>
    <n v="0"/>
    <n v="33"/>
    <n v="4"/>
    <n v="11"/>
    <n v="3.57"/>
    <n v="1.06"/>
    <x v="0"/>
    <n v="0"/>
  </r>
  <r>
    <x v="74"/>
    <x v="9"/>
    <x v="1"/>
    <x v="0"/>
    <x v="0"/>
    <x v="7"/>
    <n v="3"/>
    <n v="0"/>
    <n v="0"/>
    <n v="2.84"/>
    <n v="1.42"/>
    <n v="88"/>
    <n v="27"/>
    <n v="15"/>
    <n v="4.37"/>
    <n v="1.44"/>
    <x v="0"/>
    <n v="0"/>
  </r>
  <r>
    <x v="75"/>
    <x v="18"/>
    <x v="1"/>
    <x v="1"/>
    <x v="0"/>
    <x v="0"/>
    <n v="0"/>
    <n v="0"/>
    <n v="0"/>
    <n v="0"/>
    <n v="0"/>
    <n v="117"/>
    <n v="11"/>
    <n v="22"/>
    <n v="4.21"/>
    <n v="1.46"/>
    <x v="0"/>
    <n v="0"/>
  </r>
  <r>
    <x v="76"/>
    <x v="2"/>
    <x v="1"/>
    <x v="0"/>
    <x v="0"/>
    <x v="21"/>
    <n v="4"/>
    <n v="0"/>
    <n v="0"/>
    <n v="8.7100000000000009"/>
    <n v="2.61"/>
    <n v="97"/>
    <n v="13"/>
    <n v="14"/>
    <n v="3.16"/>
    <n v="1.25"/>
    <x v="0"/>
    <n v="0"/>
  </r>
  <r>
    <x v="77"/>
    <x v="9"/>
    <x v="1"/>
    <x v="1"/>
    <x v="0"/>
    <x v="0"/>
    <n v="0"/>
    <n v="0"/>
    <n v="0"/>
    <n v="0"/>
    <n v="0"/>
    <n v="29"/>
    <n v="2"/>
    <n v="4"/>
    <n v="4.54"/>
    <n v="1.6"/>
    <x v="0"/>
    <n v="0"/>
  </r>
  <r>
    <x v="78"/>
    <x v="9"/>
    <x v="1"/>
    <x v="1"/>
    <x v="0"/>
    <x v="45"/>
    <n v="19"/>
    <n v="6"/>
    <n v="1"/>
    <n v="2.63"/>
    <n v="1.31"/>
    <n v="60"/>
    <n v="6"/>
    <n v="9"/>
    <n v="5.34"/>
    <n v="1.4"/>
    <x v="0"/>
    <n v="0"/>
  </r>
  <r>
    <x v="79"/>
    <x v="23"/>
    <x v="1"/>
    <x v="1"/>
    <x v="0"/>
    <x v="0"/>
    <n v="0"/>
    <n v="0"/>
    <n v="0"/>
    <n v="0"/>
    <n v="0"/>
    <n v="77"/>
    <n v="14"/>
    <n v="4"/>
    <n v="4.5199999999999996"/>
    <n v="1.29"/>
    <x v="0"/>
    <n v="0"/>
  </r>
  <r>
    <x v="80"/>
    <x v="29"/>
    <x v="1"/>
    <x v="0"/>
    <x v="0"/>
    <x v="0"/>
    <n v="0"/>
    <n v="0"/>
    <n v="0"/>
    <n v="0"/>
    <n v="0"/>
    <n v="71"/>
    <n v="8"/>
    <n v="13"/>
    <n v="4.92"/>
    <n v="1.26"/>
    <x v="0"/>
    <n v="0"/>
  </r>
  <r>
    <x v="81"/>
    <x v="23"/>
    <x v="1"/>
    <x v="1"/>
    <x v="0"/>
    <x v="0"/>
    <n v="0"/>
    <n v="0"/>
    <n v="0"/>
    <n v="0"/>
    <n v="0"/>
    <n v="63"/>
    <n v="7"/>
    <n v="16"/>
    <n v="2.91"/>
    <n v="1.29"/>
    <x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70562B-BED0-AF47-920D-534B23DD1DF7}" name="2014/2019: Sum of Games Played - MLB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raft Year" colHeaderCaption="Draft Pos w/Amount of Games">
  <location ref="A9:L14" firstHeaderRow="1" firstDataRow="3" firstDataCol="1"/>
  <pivotFields count="18"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9">
        <item x="5"/>
        <item x="7"/>
        <item x="6"/>
        <item x="2"/>
        <item x="0"/>
        <item x="4"/>
        <item x="1"/>
        <item x="3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Fields count="2">
    <field x="4"/>
    <field x="3"/>
  </colFields>
  <colItems count="11">
    <i>
      <x/>
      <x v="4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5"/>
    </i>
    <i r="1">
      <x v="7"/>
    </i>
    <i t="default">
      <x v="1"/>
    </i>
    <i t="grand">
      <x/>
    </i>
  </colItems>
  <dataFields count="1">
    <dataField name="Sum of Games Played - MLB" fld="6" baseField="0" baseItem="0"/>
  </dataFields>
  <pivotTableStyleInfo name="PivotStyleDark2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431321-CEA0-324E-9D67-5811FAADA263}" name="2014/2019: Sum of War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raft Year" colHeaderCaption="Draft Pos W/Total War">
  <location ref="A2:L7" firstHeaderRow="1" firstDataRow="3" firstDataCol="1"/>
  <pivotFields count="18"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9">
        <item x="5"/>
        <item x="7"/>
        <item x="6"/>
        <item x="2"/>
        <item x="0"/>
        <item x="4"/>
        <item x="1"/>
        <item x="3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Fields count="2">
    <field x="4"/>
    <field x="3"/>
  </colFields>
  <colItems count="11">
    <i>
      <x/>
      <x v="4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5"/>
    </i>
    <i r="1">
      <x v="7"/>
    </i>
    <i t="default">
      <x v="1"/>
    </i>
    <i t="grand">
      <x/>
    </i>
  </colItems>
  <dataFields count="1">
    <dataField name="Sum of WAR" fld="5" baseField="0" baseItem="0"/>
  </dataFields>
  <pivotTableStyleInfo name="PivotStyleDark2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FB332B-3580-A647-9F8B-50B0CF1BFB56}" name="2014/2019: Sum of Teams and their Successful Picks by War" cacheId="0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 rowHeaderCaption="Draft Year" colHeaderCaption="Total Count of Players and Count of Successful Players By War">
  <location ref="A23:W114" firstHeaderRow="1" firstDataRow="4" firstDataCol="1"/>
  <pivotFields count="18">
    <pivotField dataField="1" showAll="0"/>
    <pivotField axis="axisRow" showAll="0">
      <items count="31">
        <item x="8"/>
        <item x="0"/>
        <item x="26"/>
        <item x="6"/>
        <item x="27"/>
        <item x="2"/>
        <item x="14"/>
        <item x="18"/>
        <item x="9"/>
        <item x="13"/>
        <item x="7"/>
        <item x="16"/>
        <item x="20"/>
        <item x="1"/>
        <item x="21"/>
        <item x="11"/>
        <item x="22"/>
        <item x="4"/>
        <item x="25"/>
        <item x="15"/>
        <item x="23"/>
        <item x="17"/>
        <item x="12"/>
        <item x="5"/>
        <item x="10"/>
        <item x="24"/>
        <item x="19"/>
        <item x="3"/>
        <item x="28"/>
        <item x="29"/>
        <item t="default"/>
      </items>
    </pivotField>
    <pivotField axis="axisRow" showAll="0">
      <items count="3">
        <item x="0"/>
        <item x="1"/>
        <item t="default"/>
      </items>
    </pivotField>
    <pivotField axis="axisCol" showAll="0">
      <items count="9">
        <item x="5"/>
        <item x="7"/>
        <item x="6"/>
        <item x="2"/>
        <item x="0"/>
        <item x="4"/>
        <item x="1"/>
        <item x="3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dataField="1" showAll="0"/>
  </pivotFields>
  <rowFields count="2">
    <field x="1"/>
    <field x="2"/>
  </rowFields>
  <rowItems count="88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/>
    </i>
    <i r="1">
      <x v="1"/>
    </i>
    <i>
      <x v="7"/>
    </i>
    <i r="1">
      <x/>
    </i>
    <i r="1">
      <x v="1"/>
    </i>
    <i>
      <x v="8"/>
    </i>
    <i r="1">
      <x/>
    </i>
    <i r="1">
      <x v="1"/>
    </i>
    <i>
      <x v="9"/>
    </i>
    <i r="1">
      <x/>
    </i>
    <i r="1">
      <x v="1"/>
    </i>
    <i>
      <x v="10"/>
    </i>
    <i r="1">
      <x/>
    </i>
    <i r="1">
      <x v="1"/>
    </i>
    <i>
      <x v="11"/>
    </i>
    <i r="1">
      <x/>
    </i>
    <i r="1">
      <x v="1"/>
    </i>
    <i>
      <x v="12"/>
    </i>
    <i r="1">
      <x/>
    </i>
    <i r="1">
      <x v="1"/>
    </i>
    <i>
      <x v="13"/>
    </i>
    <i r="1">
      <x/>
    </i>
    <i r="1">
      <x v="1"/>
    </i>
    <i>
      <x v="14"/>
    </i>
    <i r="1">
      <x/>
    </i>
    <i r="1">
      <x v="1"/>
    </i>
    <i>
      <x v="15"/>
    </i>
    <i r="1">
      <x/>
    </i>
    <i r="1">
      <x v="1"/>
    </i>
    <i>
      <x v="16"/>
    </i>
    <i r="1">
      <x/>
    </i>
    <i r="1">
      <x v="1"/>
    </i>
    <i>
      <x v="17"/>
    </i>
    <i r="1">
      <x/>
    </i>
    <i r="1">
      <x v="1"/>
    </i>
    <i>
      <x v="18"/>
    </i>
    <i r="1">
      <x/>
    </i>
    <i r="1">
      <x v="1"/>
    </i>
    <i>
      <x v="19"/>
    </i>
    <i r="1">
      <x/>
    </i>
    <i r="1">
      <x v="1"/>
    </i>
    <i>
      <x v="20"/>
    </i>
    <i r="1">
      <x/>
    </i>
    <i r="1">
      <x v="1"/>
    </i>
    <i>
      <x v="21"/>
    </i>
    <i r="1">
      <x/>
    </i>
    <i>
      <x v="22"/>
    </i>
    <i r="1">
      <x/>
    </i>
    <i r="1">
      <x v="1"/>
    </i>
    <i>
      <x v="23"/>
    </i>
    <i r="1">
      <x/>
    </i>
    <i r="1">
      <x v="1"/>
    </i>
    <i>
      <x v="24"/>
    </i>
    <i r="1">
      <x/>
    </i>
    <i r="1">
      <x v="1"/>
    </i>
    <i>
      <x v="25"/>
    </i>
    <i r="1">
      <x/>
    </i>
    <i r="1">
      <x v="1"/>
    </i>
    <i>
      <x v="26"/>
    </i>
    <i r="1">
      <x/>
    </i>
    <i r="1">
      <x v="1"/>
    </i>
    <i>
      <x v="27"/>
    </i>
    <i r="1">
      <x/>
    </i>
    <i r="1">
      <x v="1"/>
    </i>
    <i>
      <x v="28"/>
    </i>
    <i r="1">
      <x v="1"/>
    </i>
    <i>
      <x v="29"/>
    </i>
    <i r="1">
      <x v="1"/>
    </i>
    <i t="grand">
      <x/>
    </i>
  </rowItems>
  <colFields count="3">
    <field x="4"/>
    <field x="3"/>
    <field x="-2"/>
  </colFields>
  <colItems count="22">
    <i>
      <x/>
      <x v="4"/>
      <x/>
    </i>
    <i r="2" i="1">
      <x v="1"/>
    </i>
    <i r="1">
      <x v="6"/>
      <x/>
    </i>
    <i r="2" i="1">
      <x v="1"/>
    </i>
    <i t="default">
      <x/>
    </i>
    <i t="default" i="1">
      <x/>
    </i>
    <i>
      <x v="1"/>
      <x/>
      <x/>
    </i>
    <i r="2" i="1">
      <x v="1"/>
    </i>
    <i r="1">
      <x v="1"/>
      <x/>
    </i>
    <i r="2" i="1">
      <x v="1"/>
    </i>
    <i r="1">
      <x v="2"/>
      <x/>
    </i>
    <i r="2" i="1">
      <x v="1"/>
    </i>
    <i r="1">
      <x v="3"/>
      <x/>
    </i>
    <i r="2" i="1">
      <x v="1"/>
    </i>
    <i r="1">
      <x v="5"/>
      <x/>
    </i>
    <i r="2" i="1">
      <x v="1"/>
    </i>
    <i r="1">
      <x v="7"/>
      <x/>
    </i>
    <i r="2" i="1">
      <x v="1"/>
    </i>
    <i t="default">
      <x v="1"/>
    </i>
    <i t="default" i="1">
      <x v="1"/>
    </i>
    <i t="grand">
      <x/>
    </i>
    <i t="grand" i="1">
      <x/>
    </i>
  </colItems>
  <dataFields count="2">
    <dataField name="Sum of Players" fld="0" subtotal="count" baseField="0" baseItem="0"/>
    <dataField name="Sum of Successful Player by WAR" fld="17" baseField="0" baseItem="0"/>
  </dataFields>
  <pivotTableStyleInfo name="PivotStyleDark2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2E0DA1-DE50-FB46-818B-72F0E22C6452}" name="2014/2019: Sum of All-Star Appearances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raft Year" colHeaderCaption="Draft Pos W/Total All-Star Nods">
  <location ref="A16:L21" firstHeaderRow="1" firstDataRow="3" firstDataCol="1"/>
  <pivotFields count="18"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9">
        <item x="5"/>
        <item x="7"/>
        <item x="6"/>
        <item x="2"/>
        <item x="0"/>
        <item x="4"/>
        <item x="1"/>
        <item x="3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dataField="1" showAll="0"/>
    <pivotField showAll="0"/>
  </pivotFields>
  <rowFields count="1">
    <field x="2"/>
  </rowFields>
  <rowItems count="3">
    <i>
      <x/>
    </i>
    <i>
      <x v="1"/>
    </i>
    <i t="grand">
      <x/>
    </i>
  </rowItems>
  <colFields count="2">
    <field x="4"/>
    <field x="3"/>
  </colFields>
  <colItems count="11">
    <i>
      <x/>
      <x v="4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5"/>
    </i>
    <i r="1">
      <x v="7"/>
    </i>
    <i t="default">
      <x v="1"/>
    </i>
    <i t="grand">
      <x/>
    </i>
  </colItems>
  <dataFields count="1">
    <dataField name="Sum of All-Star Appearances" fld="16" baseField="0" baseItem="0"/>
  </dataFields>
  <pivotTableStyleInfo name="PivotStyleDark2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507D91-2693-0246-83E1-19B13B9347F9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2">
  <location ref="A2:D6" firstHeaderRow="1" firstDataRow="2" firstDataCol="1"/>
  <pivotFields count="18"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Average of WAR" fld="5" subtotal="average" baseField="0" baseItem="0"/>
  </dataFields>
  <formats count="6">
    <format dxfId="11">
      <pivotArea collapsedLevelsAreSubtotals="1" fieldPosition="0">
        <references count="2">
          <reference field="2" count="0"/>
          <reference field="4" count="1" selected="0">
            <x v="1"/>
          </reference>
        </references>
      </pivotArea>
    </format>
    <format dxfId="10">
      <pivotArea field="2" grandCol="1" collapsedLevelsAreSubtotals="1" axis="axisRow" fieldPosition="0">
        <references count="1">
          <reference field="2" count="0"/>
        </references>
      </pivotArea>
    </format>
    <format dxfId="9">
      <pivotArea field="4" grandRow="1" outline="0" collapsedLevelsAreSubtotals="1" axis="axisCol" fieldPosition="0">
        <references count="1">
          <reference field="4" count="1" selected="0">
            <x v="1"/>
          </reference>
        </references>
      </pivotArea>
    </format>
    <format dxfId="8">
      <pivotArea grandRow="1" grandCol="1" outline="0" collapsedLevelsAreSubtotals="1" fieldPosition="0"/>
    </format>
    <format dxfId="7">
      <pivotArea collapsedLevelsAreSubtotals="1" fieldPosition="0">
        <references count="2">
          <reference field="2" count="1">
            <x v="1"/>
          </reference>
          <reference field="4" count="1" selected="0">
            <x v="0"/>
          </reference>
        </references>
      </pivotArea>
    </format>
    <format dxfId="6">
      <pivotArea field="4" grandRow="1" outline="0" collapsedLevelsAreSubtotals="1" axis="axisCol" fieldPosition="0">
        <references count="1">
          <reference field="4" count="1" selected="0">
            <x v="0"/>
          </reference>
        </references>
      </pivotArea>
    </format>
  </format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9728E-2B67-2347-ACEE-F11A64EA1047}" name="Table1" displayName="Table1" ref="A21:J25" totalsRowShown="0">
  <autoFilter ref="A21:J25" xr:uid="{6DA9728E-2B67-2347-ACEE-F11A64EA1047}"/>
  <tableColumns count="10">
    <tableColumn id="1" xr3:uid="{60CFF20F-D017-EB44-9E2C-CC9A01211402}" name="Avg of War by Position (2014 &amp; 2019)"/>
    <tableColumn id="5" xr3:uid="{8D4FBD58-54F2-C54E-9FD4-B92EAC76AB70}" name="LHP"/>
    <tableColumn id="6" xr3:uid="{201FF405-7107-2346-B35B-1A7BBA77F020}" name="RHP"/>
    <tableColumn id="7" xr3:uid="{D492A330-0888-E249-ADD4-3E8E928578D7}" name="C"/>
    <tableColumn id="2" xr3:uid="{595C30D0-75BA-1F4B-829C-344AC5C13808}" name="1B"/>
    <tableColumn id="3" xr3:uid="{DAF67CA1-AE06-2C40-B035-213A5BB792F0}" name="2B"/>
    <tableColumn id="4" xr3:uid="{AA6E9F3B-D97C-3A44-A3FE-A13074260D29}" name="3B"/>
    <tableColumn id="9" xr3:uid="{44D8CF23-9285-5046-856A-D52CEFF5D97B}" name="SS"/>
    <tableColumn id="8" xr3:uid="{B7D4629F-3C17-BA4B-BA96-A3BF284863F0}" name="OF"/>
    <tableColumn id="10" xr3:uid="{75B44851-D7B1-A54E-B835-B7EE83250C01}" name="Average of Every Posi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767878-F00D-704C-AF7B-F2B90A8A3D18}" name="Table3" displayName="Table3" ref="A49:D79" totalsRowShown="0" headerRowDxfId="5">
  <autoFilter ref="A49:D79" xr:uid="{D2767878-F00D-704C-AF7B-F2B90A8A3D18}"/>
  <sortState xmlns:xlrd2="http://schemas.microsoft.com/office/spreadsheetml/2017/richdata2" ref="A50:D79">
    <sortCondition descending="1" ref="A49:A79"/>
  </sortState>
  <tableColumns count="4">
    <tableColumn id="1" xr3:uid="{B61B0DA7-99FF-C949-832A-E6648EE45906}" name="Team" dataDxfId="4"/>
    <tableColumn id="2" xr3:uid="{6F7A4D56-9300-EC40-909F-A929452286A0}" name="Total Picks" dataDxfId="3"/>
    <tableColumn id="4" xr3:uid="{1988DB29-E157-7E4E-BAA3-5B791DD5687E}" name="Successful Picks*"/>
    <tableColumn id="3" xr3:uid="{45303B8F-793E-9F4D-922F-B13C61CC7587}" name="Success Rate" dataDxfId="2" dataCellStyle="Perc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B85BC4F-A575-DA4F-A547-16950E6ED99E}" name="Table6" displayName="Table6" ref="X1:Y3" totalsRowShown="0">
  <autoFilter ref="X1:Y3" xr:uid="{AB85BC4F-A575-DA4F-A547-16950E6ED99E}"/>
  <tableColumns count="2">
    <tableColumn id="1" xr3:uid="{2F8DA7F0-868D-A54F-BF60-2ECB250752B9}" name="Draft Position Played" dataDxfId="1"/>
    <tableColumn id="2" xr3:uid="{F074446F-AF8D-B24F-96A8-83B46C778201}" name="Drafted Pitcher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78D6661-07FC-B64C-8B5A-C04AA001F5C2}" name="Table7" displayName="Table7" ref="AA1:AB3" totalsRowShown="0">
  <autoFilter ref="AA1:AB3" xr:uid="{578D6661-07FC-B64C-8B5A-C04AA001F5C2}"/>
  <tableColumns count="2">
    <tableColumn id="1" xr3:uid="{7EF5911E-A0FD-7145-A365-37A5FAE29627}" name="Draft Position Played" dataDxfId="0"/>
    <tableColumn id="2" xr3:uid="{C5A3FF00-BB48-D945-A3D4-ED57779DAB35}" name="Position Play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A17B468-A190-CE42-80C6-A6BF8D9A46FF}">
  <we:reference id="wa200005271" version="2.5.5.0" store="en-US" storeType="OMEX"/>
  <we:alternateReferences>
    <we:reference id="wa200005271" version="2.5.5.0" store="en-US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5.xm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F9070-A09A-B642-A92A-281595B34D4E}">
  <dimension ref="A1:BK84"/>
  <sheetViews>
    <sheetView topLeftCell="A57" workbookViewId="0">
      <selection activeCell="J1" sqref="J1"/>
    </sheetView>
  </sheetViews>
  <sheetFormatPr baseColWidth="10" defaultColWidth="11" defaultRowHeight="15.75" customHeight="1"/>
  <cols>
    <col min="1" max="1" width="11.1640625" customWidth="1"/>
    <col min="9" max="9" width="21.33203125" customWidth="1"/>
    <col min="10" max="10" width="23.33203125" customWidth="1"/>
    <col min="11" max="11" width="18.1640625" customWidth="1"/>
    <col min="13" max="13" width="17.6640625" customWidth="1"/>
    <col min="14" max="17" width="11" customWidth="1"/>
    <col min="18" max="18" width="19.5" customWidth="1"/>
    <col min="19" max="21" width="11" customWidth="1"/>
    <col min="22" max="22" width="12.6640625" customWidth="1"/>
    <col min="23" max="23" width="19.1640625" customWidth="1"/>
    <col min="28" max="28" width="18.6640625" customWidth="1"/>
    <col min="33" max="33" width="17.6640625" customWidth="1"/>
    <col min="35" max="35" width="29.83203125" customWidth="1"/>
  </cols>
  <sheetData>
    <row r="1" spans="1:63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" t="s">
        <v>32</v>
      </c>
      <c r="AH1" s="1" t="s">
        <v>33</v>
      </c>
      <c r="AI1" s="1" t="s">
        <v>34</v>
      </c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ht="16">
      <c r="A2" s="1">
        <v>2014</v>
      </c>
      <c r="B2" s="2">
        <v>1</v>
      </c>
      <c r="C2" s="2">
        <v>1</v>
      </c>
      <c r="D2" s="2" t="s">
        <v>3</v>
      </c>
      <c r="E2" s="2">
        <v>1</v>
      </c>
      <c r="F2" s="2" t="s">
        <v>35</v>
      </c>
      <c r="G2" s="2" t="s">
        <v>36</v>
      </c>
      <c r="H2" s="4">
        <v>0</v>
      </c>
      <c r="I2" s="2" t="s">
        <v>37</v>
      </c>
      <c r="J2" s="2" t="s">
        <v>38</v>
      </c>
      <c r="K2" s="2" t="s">
        <v>39</v>
      </c>
      <c r="L2" s="2" cm="1">
        <f t="array" aca="1" ref="L2" ca="1">IF(L2-L3=0,””,L2-L3)</f>
        <v>0</v>
      </c>
      <c r="M2" s="2" cm="1">
        <f t="array" aca="1" ref="M2" ca="1">IF(M2-M3=0,””,M2-M3)</f>
        <v>0</v>
      </c>
      <c r="N2" s="2" cm="1">
        <f t="array" aca="1" ref="N2" ca="1">IF(N2-N3=0,””,N2-N3)</f>
        <v>0</v>
      </c>
      <c r="O2" s="2" cm="1">
        <f t="array" aca="1" ref="O2" ca="1">IF(O2-O3=0,””,O2-O3)</f>
        <v>0</v>
      </c>
      <c r="P2" s="2" cm="1">
        <f t="array" aca="1" ref="P2" ca="1">IF(P2-P3=0,””,P2-P3)</f>
        <v>0</v>
      </c>
      <c r="Q2" s="2" cm="1">
        <f t="array" aca="1" ref="Q2" ca="1">IF(Q2-Q3=0,””,Q2-Q3)</f>
        <v>0</v>
      </c>
      <c r="T2" s="2"/>
      <c r="U2" s="2"/>
      <c r="V2" s="2"/>
      <c r="W2" s="2" cm="1">
        <f t="array" aca="1" ref="W2" ca="1">IF(W2-W3=0,””,W2-W3)</f>
        <v>0</v>
      </c>
      <c r="X2" s="2" cm="1">
        <f t="array" aca="1" ref="X2" ca="1">IF(X2-X3=0,””,X2-X3)</f>
        <v>0</v>
      </c>
      <c r="Y2" s="2" cm="1">
        <f t="array" aca="1" ref="Y2" ca="1">IF(Y2-Y3=0,””,Y2-Y3)</f>
        <v>0</v>
      </c>
      <c r="Z2" s="2" cm="1">
        <f t="array" aca="1" ref="Z2" ca="1">IF(Z2-Z3=0,””,Z2-Z3)</f>
        <v>0</v>
      </c>
      <c r="AA2" s="2" cm="1">
        <f t="array" aca="1" ref="AA2" ca="1">IF(AA2-AA3=0,””,AA2-AA3)</f>
        <v>0</v>
      </c>
      <c r="AB2" s="2">
        <v>43</v>
      </c>
      <c r="AC2" s="2">
        <v>7</v>
      </c>
      <c r="AD2" s="2">
        <v>18</v>
      </c>
      <c r="AE2" s="2">
        <v>5.18</v>
      </c>
      <c r="AF2" s="2">
        <v>1.76</v>
      </c>
      <c r="AG2" s="5">
        <v>0</v>
      </c>
      <c r="AH2" s="2" t="s">
        <v>40</v>
      </c>
      <c r="AI2" s="2" t="s">
        <v>41</v>
      </c>
      <c r="AJ2" s="6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8"/>
      <c r="BF2" s="7"/>
      <c r="BG2" s="7"/>
      <c r="BH2" s="7"/>
      <c r="BI2" s="7"/>
      <c r="BJ2" s="7"/>
      <c r="BK2" s="7"/>
    </row>
    <row r="3" spans="1:63" ht="16">
      <c r="A3" s="1">
        <v>2014</v>
      </c>
      <c r="B3" s="2">
        <v>1</v>
      </c>
      <c r="C3" s="2">
        <v>2</v>
      </c>
      <c r="D3" s="2" t="s">
        <v>3</v>
      </c>
      <c r="E3" s="2">
        <v>2</v>
      </c>
      <c r="F3" s="2" t="s">
        <v>42</v>
      </c>
      <c r="G3" s="2" t="s">
        <v>43</v>
      </c>
      <c r="H3" s="4">
        <v>6000000</v>
      </c>
      <c r="I3" s="2" t="s">
        <v>44</v>
      </c>
      <c r="J3" s="2" t="s">
        <v>45</v>
      </c>
      <c r="K3" s="2" t="s">
        <v>39</v>
      </c>
      <c r="L3" s="2" cm="1">
        <f t="array" aca="1" ref="L3" ca="1">IF(L3-L4=0,””,L3-L4)</f>
        <v>0</v>
      </c>
      <c r="M3" s="2" cm="1">
        <f t="array" aca="1" ref="M3" ca="1">IF(M3-M4=0,””,M3-M4)</f>
        <v>0</v>
      </c>
      <c r="N3" s="2" cm="1">
        <f t="array" aca="1" ref="N3" ca="1">IF(N3-N4=0,””,N3-N4)</f>
        <v>0</v>
      </c>
      <c r="O3" s="2" cm="1">
        <f t="array" aca="1" ref="O3" ca="1">IF(O3-O4=0,””,O3-O4)</f>
        <v>0</v>
      </c>
      <c r="P3" s="2" cm="1">
        <f t="array" aca="1" ref="P3" ca="1">IF(P3-P4=0,””,P3-P4)</f>
        <v>0</v>
      </c>
      <c r="Q3" s="2" cm="1">
        <f t="array" aca="1" ref="Q3" ca="1">IF(Q3-Q4=0,””,Q3-Q4)</f>
        <v>0</v>
      </c>
      <c r="R3" s="2"/>
      <c r="S3" s="2"/>
      <c r="T3" s="2"/>
      <c r="U3" s="2"/>
      <c r="V3" s="2"/>
      <c r="W3" s="2" cm="1">
        <f t="array" aca="1" ref="W3" ca="1">IF(W3-W4=0,””,W3-W4)</f>
        <v>0</v>
      </c>
      <c r="X3" s="2" cm="1">
        <f t="array" aca="1" ref="X3" ca="1">IF(X3-X4=0,””,X3-X4)</f>
        <v>0</v>
      </c>
      <c r="Y3" s="2" cm="1">
        <f t="array" aca="1" ref="Y3" ca="1">IF(Y3-Y4=0,””,Y3-Y4)</f>
        <v>0</v>
      </c>
      <c r="Z3" s="2" cm="1">
        <f t="array" aca="1" ref="Z3" ca="1">IF(Z3-Z4=0,””,Z3-Z4)</f>
        <v>0</v>
      </c>
      <c r="AA3" s="2" cm="1">
        <f t="array" aca="1" ref="AA3" ca="1">IF(AA3-AA4=0,””,AA3-AA4)</f>
        <v>0</v>
      </c>
      <c r="AB3" s="2">
        <v>64</v>
      </c>
      <c r="AC3" s="2">
        <v>6</v>
      </c>
      <c r="AD3" s="2">
        <v>16</v>
      </c>
      <c r="AE3" s="2">
        <v>5.66</v>
      </c>
      <c r="AF3" s="2">
        <v>1.7290000000000001</v>
      </c>
      <c r="AG3" s="5">
        <v>0</v>
      </c>
      <c r="AH3" s="2" t="s">
        <v>40</v>
      </c>
      <c r="AI3" s="2" t="s">
        <v>46</v>
      </c>
      <c r="AJ3" s="6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8"/>
      <c r="BF3" s="7"/>
      <c r="BG3" s="7"/>
      <c r="BH3" s="7"/>
      <c r="BI3" s="7"/>
      <c r="BJ3" s="7"/>
      <c r="BK3" s="7"/>
    </row>
    <row r="4" spans="1:63" ht="30">
      <c r="A4" s="1">
        <v>2014</v>
      </c>
      <c r="B4" s="2">
        <v>1</v>
      </c>
      <c r="C4" s="2">
        <v>3</v>
      </c>
      <c r="D4" s="2" t="s">
        <v>3</v>
      </c>
      <c r="E4" s="2">
        <v>3</v>
      </c>
      <c r="F4" s="2" t="s">
        <v>47</v>
      </c>
      <c r="G4" s="2" t="s">
        <v>43</v>
      </c>
      <c r="H4" s="4">
        <v>6582000</v>
      </c>
      <c r="I4" s="2" t="s">
        <v>48</v>
      </c>
      <c r="J4" s="2" t="s">
        <v>38</v>
      </c>
      <c r="K4" s="2" t="s">
        <v>39</v>
      </c>
      <c r="L4" s="2">
        <v>16.100000000000001</v>
      </c>
      <c r="M4" s="2">
        <v>8</v>
      </c>
      <c r="N4" s="2">
        <v>13</v>
      </c>
      <c r="O4" s="2">
        <v>0</v>
      </c>
      <c r="P4" s="2">
        <v>0.154</v>
      </c>
      <c r="Q4" s="2">
        <v>0.38500000000000001</v>
      </c>
      <c r="R4" s="2"/>
      <c r="S4" s="2"/>
      <c r="T4" s="2"/>
      <c r="U4" s="2"/>
      <c r="V4" s="2"/>
      <c r="W4" s="2">
        <v>184</v>
      </c>
      <c r="X4" s="2">
        <v>68</v>
      </c>
      <c r="Y4" s="2">
        <v>60</v>
      </c>
      <c r="Z4" s="2">
        <v>3.89</v>
      </c>
      <c r="AA4" s="2">
        <v>1.25</v>
      </c>
      <c r="AB4" s="2">
        <v>23</v>
      </c>
      <c r="AC4" s="2">
        <v>2</v>
      </c>
      <c r="AD4" s="2">
        <v>6</v>
      </c>
      <c r="AE4" s="2">
        <v>3.98</v>
      </c>
      <c r="AF4" s="2">
        <v>1.27</v>
      </c>
      <c r="AG4" s="5">
        <v>1</v>
      </c>
      <c r="AH4" s="2" t="s">
        <v>49</v>
      </c>
      <c r="AI4" s="2" t="s">
        <v>50</v>
      </c>
      <c r="AJ4" s="6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8"/>
      <c r="BF4" s="7"/>
      <c r="BG4" s="7"/>
      <c r="BH4" s="7"/>
      <c r="BI4" s="7"/>
      <c r="BJ4" s="7"/>
      <c r="BK4" s="7"/>
    </row>
    <row r="5" spans="1:63" ht="30">
      <c r="A5" s="1">
        <v>2014</v>
      </c>
      <c r="B5" s="2">
        <v>1</v>
      </c>
      <c r="C5" s="2">
        <v>4</v>
      </c>
      <c r="D5" s="2" t="s">
        <v>3</v>
      </c>
      <c r="E5" s="2">
        <v>4</v>
      </c>
      <c r="F5" s="2" t="s">
        <v>51</v>
      </c>
      <c r="G5" s="2" t="s">
        <v>43</v>
      </c>
      <c r="H5" s="4">
        <v>3125000</v>
      </c>
      <c r="I5" s="2" t="s">
        <v>52</v>
      </c>
      <c r="J5" s="2" t="s">
        <v>53</v>
      </c>
      <c r="K5" s="2" t="s">
        <v>54</v>
      </c>
      <c r="L5" s="2">
        <v>13.7</v>
      </c>
      <c r="M5" s="2">
        <v>1058</v>
      </c>
      <c r="N5" s="2">
        <v>3667</v>
      </c>
      <c r="O5" s="2">
        <v>263</v>
      </c>
      <c r="P5" s="2">
        <v>0.22900000000000001</v>
      </c>
      <c r="Q5" s="2">
        <v>0.83</v>
      </c>
      <c r="R5" s="2">
        <f>SUM([1]Worksheet!$E$2:$E$4)</f>
        <v>158</v>
      </c>
      <c r="S5" s="2">
        <f>SUM([1]Worksheet!$G$2:$G$4)</f>
        <v>554</v>
      </c>
      <c r="T5" s="2">
        <f>SUM([1]Worksheet!$L$2:$L$4)</f>
        <v>38</v>
      </c>
      <c r="U5" s="11">
        <f>AVERAGE([1]Worksheet!$R$2:$R$4)</f>
        <v>0.33666666666666667</v>
      </c>
      <c r="V5" s="11">
        <f>AVERAGE([1]Worksheet!$U$2:$U$4)</f>
        <v>1.0916666666666668</v>
      </c>
      <c r="W5" s="2" cm="1">
        <f t="array" aca="1" ref="W5" ca="1">IF(W5-W6=0,””,W5-W6)</f>
        <v>0</v>
      </c>
      <c r="X5" s="2" cm="1">
        <f t="array" aca="1" ref="X5" ca="1">IF(X5-X6=0,””,X5-X6)</f>
        <v>0</v>
      </c>
      <c r="Y5" s="2" cm="1">
        <f t="array" aca="1" ref="Y5" ca="1">IF(Y5-Y6=0,””,Y5-Y6)</f>
        <v>0</v>
      </c>
      <c r="Z5" s="2" cm="1">
        <f t="array" aca="1" ref="Z5" ca="1">IF(Z5-Z6=0,””,Z5-Z6)</f>
        <v>0</v>
      </c>
      <c r="AA5" s="2" cm="1">
        <f t="array" aca="1" ref="AA5" ca="1">IF(AA5-AA6=0,””,AA5-AA6)</f>
        <v>0</v>
      </c>
      <c r="AB5" s="2"/>
      <c r="AC5" s="2"/>
      <c r="AD5" s="2"/>
      <c r="AE5" s="2"/>
      <c r="AF5" s="2"/>
      <c r="AG5" s="5">
        <v>2</v>
      </c>
      <c r="AH5" s="2" t="s">
        <v>49</v>
      </c>
      <c r="AI5" s="2" t="s">
        <v>55</v>
      </c>
    </row>
    <row r="6" spans="1:63" ht="16">
      <c r="A6" s="1">
        <v>2014</v>
      </c>
      <c r="B6" s="2">
        <v>1</v>
      </c>
      <c r="C6" s="2">
        <v>5</v>
      </c>
      <c r="D6" s="2" t="s">
        <v>3</v>
      </c>
      <c r="E6" s="2">
        <v>5</v>
      </c>
      <c r="F6" s="2" t="s">
        <v>56</v>
      </c>
      <c r="G6" s="2" t="s">
        <v>43</v>
      </c>
      <c r="H6" s="4">
        <v>3851000</v>
      </c>
      <c r="I6" s="2" t="s">
        <v>57</v>
      </c>
      <c r="J6" s="2" t="s">
        <v>58</v>
      </c>
      <c r="K6" s="2" t="s">
        <v>54</v>
      </c>
      <c r="L6" s="2">
        <v>0.4</v>
      </c>
      <c r="M6" s="2">
        <v>317</v>
      </c>
      <c r="N6" s="2">
        <v>903</v>
      </c>
      <c r="O6" s="2">
        <v>23</v>
      </c>
      <c r="P6" s="2">
        <v>0.246</v>
      </c>
      <c r="Q6" s="2">
        <v>0.67900000000000005</v>
      </c>
      <c r="R6" s="2">
        <v>650</v>
      </c>
      <c r="S6" s="2">
        <v>2623</v>
      </c>
      <c r="T6" s="2">
        <v>28</v>
      </c>
      <c r="U6" s="2">
        <v>0.27500000000000002</v>
      </c>
      <c r="V6" s="2">
        <v>0.71399999999999997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/>
      <c r="AC6" s="2"/>
      <c r="AD6" s="2"/>
      <c r="AE6" s="2"/>
      <c r="AF6" s="2"/>
      <c r="AG6" s="5">
        <v>0</v>
      </c>
      <c r="AH6" s="2" t="s">
        <v>40</v>
      </c>
      <c r="AI6" s="2" t="s">
        <v>59</v>
      </c>
    </row>
    <row r="7" spans="1:63" ht="16">
      <c r="A7" s="1">
        <v>2014</v>
      </c>
      <c r="B7" s="2">
        <v>1</v>
      </c>
      <c r="C7" s="2">
        <v>6</v>
      </c>
      <c r="D7" s="2" t="s">
        <v>3</v>
      </c>
      <c r="E7" s="2">
        <v>6</v>
      </c>
      <c r="F7" s="2" t="s">
        <v>60</v>
      </c>
      <c r="G7" s="2" t="s">
        <v>43</v>
      </c>
      <c r="H7" s="4">
        <v>4200000</v>
      </c>
      <c r="I7" s="2" t="s">
        <v>61</v>
      </c>
      <c r="J7" s="2" t="s">
        <v>62</v>
      </c>
      <c r="K7" s="2" t="s">
        <v>54</v>
      </c>
      <c r="L7" s="2">
        <v>-1.7</v>
      </c>
      <c r="M7" s="2">
        <v>97</v>
      </c>
      <c r="N7" s="2">
        <v>236</v>
      </c>
      <c r="O7" s="2">
        <v>4</v>
      </c>
      <c r="P7" s="2">
        <v>0.11899999999999999</v>
      </c>
      <c r="Q7" s="2">
        <v>0.41099999999999998</v>
      </c>
      <c r="R7" s="2">
        <v>615</v>
      </c>
      <c r="S7" s="2">
        <v>2217</v>
      </c>
      <c r="T7" s="2">
        <v>112</v>
      </c>
      <c r="U7" s="2">
        <v>0.24299999999999999</v>
      </c>
      <c r="V7" s="2">
        <v>0.78600000000000003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/>
      <c r="AC7" s="2"/>
      <c r="AD7" s="2"/>
      <c r="AE7" s="2"/>
      <c r="AF7" s="2"/>
      <c r="AG7" s="5">
        <v>0</v>
      </c>
      <c r="AH7" s="2" t="s">
        <v>40</v>
      </c>
      <c r="AI7" s="2" t="s">
        <v>63</v>
      </c>
    </row>
    <row r="8" spans="1:63" ht="30">
      <c r="A8" s="1">
        <v>2014</v>
      </c>
      <c r="B8" s="2">
        <v>1</v>
      </c>
      <c r="C8" s="2">
        <v>7</v>
      </c>
      <c r="D8" s="2" t="s">
        <v>3</v>
      </c>
      <c r="E8" s="2">
        <v>7</v>
      </c>
      <c r="F8" s="2" t="s">
        <v>64</v>
      </c>
      <c r="G8" s="2" t="s">
        <v>43</v>
      </c>
      <c r="H8" s="4">
        <v>3300900</v>
      </c>
      <c r="I8" s="2" t="s">
        <v>65</v>
      </c>
      <c r="J8" s="2" t="s">
        <v>45</v>
      </c>
      <c r="K8" s="2" t="s">
        <v>39</v>
      </c>
      <c r="L8" s="2">
        <v>33.1</v>
      </c>
      <c r="M8" s="2">
        <v>152</v>
      </c>
      <c r="N8" s="2">
        <v>271</v>
      </c>
      <c r="O8" s="2">
        <v>0</v>
      </c>
      <c r="P8" s="2">
        <v>8.8999999999999996E-2</v>
      </c>
      <c r="Q8" s="2">
        <v>0.26700000000000002</v>
      </c>
      <c r="R8" s="2"/>
      <c r="S8" s="2"/>
      <c r="T8" s="2"/>
      <c r="U8" s="2"/>
      <c r="V8" s="2"/>
      <c r="W8" s="2">
        <v>252</v>
      </c>
      <c r="X8" s="2">
        <v>99</v>
      </c>
      <c r="Y8" s="2">
        <v>75</v>
      </c>
      <c r="Z8" s="2">
        <v>3.7</v>
      </c>
      <c r="AA8" s="2">
        <v>1.1200000000000001</v>
      </c>
      <c r="AB8" s="2">
        <v>32</v>
      </c>
      <c r="AC8" s="2">
        <v>15</v>
      </c>
      <c r="AD8" s="2">
        <v>7</v>
      </c>
      <c r="AE8" s="2">
        <v>2.4700000000000002</v>
      </c>
      <c r="AF8" s="2">
        <v>1.034</v>
      </c>
      <c r="AG8" s="5">
        <v>2</v>
      </c>
      <c r="AH8" s="2" t="s">
        <v>49</v>
      </c>
      <c r="AI8" s="2" t="s">
        <v>66</v>
      </c>
    </row>
    <row r="9" spans="1:63" ht="16">
      <c r="A9" s="1">
        <v>2014</v>
      </c>
      <c r="B9" s="2">
        <v>1</v>
      </c>
      <c r="C9" s="2">
        <v>8</v>
      </c>
      <c r="D9" s="2" t="s">
        <v>3</v>
      </c>
      <c r="E9" s="2">
        <v>8</v>
      </c>
      <c r="F9" s="2" t="s">
        <v>67</v>
      </c>
      <c r="G9" s="2" t="s">
        <v>43</v>
      </c>
      <c r="H9" s="4">
        <v>2300000</v>
      </c>
      <c r="I9" s="2" t="s">
        <v>68</v>
      </c>
      <c r="J9" s="2" t="s">
        <v>38</v>
      </c>
      <c r="K9" s="2" t="s">
        <v>39</v>
      </c>
      <c r="L9" s="2">
        <v>17.2</v>
      </c>
      <c r="M9" s="2">
        <v>106</v>
      </c>
      <c r="N9" s="2">
        <v>173</v>
      </c>
      <c r="O9" s="2">
        <v>1</v>
      </c>
      <c r="P9" s="2">
        <v>0.127</v>
      </c>
      <c r="Q9" s="2">
        <v>0.33200000000000002</v>
      </c>
      <c r="R9" s="2"/>
      <c r="S9" s="2"/>
      <c r="T9" s="2"/>
      <c r="U9" s="2"/>
      <c r="V9" s="2"/>
      <c r="W9" s="2">
        <v>190</v>
      </c>
      <c r="X9" s="2">
        <v>55</v>
      </c>
      <c r="Y9" s="2">
        <v>68</v>
      </c>
      <c r="Z9" s="2">
        <v>4.49</v>
      </c>
      <c r="AA9" s="2">
        <v>1.43</v>
      </c>
      <c r="AB9" s="2">
        <v>56</v>
      </c>
      <c r="AC9" s="2">
        <v>18</v>
      </c>
      <c r="AD9" s="2">
        <v>17</v>
      </c>
      <c r="AE9" s="2">
        <v>3.93</v>
      </c>
      <c r="AF9" s="2">
        <v>1.2709999999999999</v>
      </c>
      <c r="AG9" s="5">
        <v>0</v>
      </c>
      <c r="AH9" s="2" t="s">
        <v>49</v>
      </c>
      <c r="AI9" s="2" t="s">
        <v>69</v>
      </c>
    </row>
    <row r="10" spans="1:63" ht="16">
      <c r="A10" s="1">
        <v>2014</v>
      </c>
      <c r="B10" s="2">
        <v>1</v>
      </c>
      <c r="C10" s="2">
        <v>9</v>
      </c>
      <c r="D10" s="2" t="s">
        <v>3</v>
      </c>
      <c r="E10" s="2">
        <v>9</v>
      </c>
      <c r="F10" s="2" t="s">
        <v>70</v>
      </c>
      <c r="G10" s="2" t="s">
        <v>43</v>
      </c>
      <c r="H10" s="4">
        <v>3080800</v>
      </c>
      <c r="I10" s="2" t="s">
        <v>71</v>
      </c>
      <c r="J10" s="2" t="s">
        <v>45</v>
      </c>
      <c r="K10" s="2" t="s">
        <v>39</v>
      </c>
      <c r="L10" s="2">
        <v>2.8</v>
      </c>
      <c r="M10" s="2">
        <v>86</v>
      </c>
      <c r="N10" s="2">
        <v>77</v>
      </c>
      <c r="O10" s="2">
        <v>0</v>
      </c>
      <c r="P10" s="2">
        <v>0.13</v>
      </c>
      <c r="Q10" s="2">
        <v>0.27300000000000002</v>
      </c>
      <c r="R10" s="2"/>
      <c r="S10" s="2"/>
      <c r="T10" s="2"/>
      <c r="U10" s="2"/>
      <c r="V10" s="2"/>
      <c r="W10" s="2">
        <v>225</v>
      </c>
      <c r="X10" s="2">
        <v>23</v>
      </c>
      <c r="Y10" s="2">
        <v>24</v>
      </c>
      <c r="Z10" s="2">
        <v>4.92</v>
      </c>
      <c r="AA10" s="2">
        <v>1.45</v>
      </c>
      <c r="AB10" s="2">
        <v>105</v>
      </c>
      <c r="AC10" s="2">
        <v>26</v>
      </c>
      <c r="AD10" s="2">
        <v>36</v>
      </c>
      <c r="AE10" s="2">
        <v>4.76</v>
      </c>
      <c r="AF10" s="2">
        <v>1.359</v>
      </c>
      <c r="AG10" s="5">
        <v>0</v>
      </c>
      <c r="AH10" s="2" t="s">
        <v>49</v>
      </c>
      <c r="AI10" s="2" t="s">
        <v>72</v>
      </c>
    </row>
    <row r="11" spans="1:63" ht="16">
      <c r="A11" s="1">
        <v>2014</v>
      </c>
      <c r="B11" s="2">
        <v>1</v>
      </c>
      <c r="C11" s="2">
        <v>10</v>
      </c>
      <c r="D11" s="2" t="s">
        <v>3</v>
      </c>
      <c r="E11" s="2">
        <v>10</v>
      </c>
      <c r="F11" s="2" t="s">
        <v>73</v>
      </c>
      <c r="G11" s="2" t="s">
        <v>43</v>
      </c>
      <c r="H11" s="4">
        <v>2970800</v>
      </c>
      <c r="I11" s="2" t="s">
        <v>74</v>
      </c>
      <c r="J11" s="2" t="s">
        <v>62</v>
      </c>
      <c r="K11" s="2" t="s">
        <v>54</v>
      </c>
      <c r="L11" s="2">
        <v>16.600000000000001</v>
      </c>
      <c r="M11" s="2">
        <v>946</v>
      </c>
      <c r="N11" s="2">
        <v>3175</v>
      </c>
      <c r="O11" s="2">
        <v>156</v>
      </c>
      <c r="P11" s="2">
        <v>0.251</v>
      </c>
      <c r="Q11" s="2">
        <v>0.80500000000000005</v>
      </c>
      <c r="R11" s="2">
        <v>172</v>
      </c>
      <c r="S11" s="2">
        <v>668</v>
      </c>
      <c r="T11" s="2">
        <v>24</v>
      </c>
      <c r="U11" s="2">
        <v>0.32900000000000001</v>
      </c>
      <c r="V11" s="2">
        <v>0.91900000000000004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/>
      <c r="AC11" s="2"/>
      <c r="AD11" s="2"/>
      <c r="AE11" s="2"/>
      <c r="AF11" s="2"/>
      <c r="AG11" s="5">
        <v>1</v>
      </c>
      <c r="AH11" s="2" t="s">
        <v>49</v>
      </c>
      <c r="AI11" s="2" t="s">
        <v>75</v>
      </c>
    </row>
    <row r="12" spans="1:63" ht="16">
      <c r="A12" s="1">
        <v>2014</v>
      </c>
      <c r="B12" s="2">
        <v>1</v>
      </c>
      <c r="C12" s="2">
        <v>11</v>
      </c>
      <c r="D12" s="2" t="s">
        <v>3</v>
      </c>
      <c r="E12" s="2">
        <v>11</v>
      </c>
      <c r="F12" s="2" t="s">
        <v>70</v>
      </c>
      <c r="G12" s="2" t="s">
        <v>43</v>
      </c>
      <c r="H12" s="4">
        <v>2888300</v>
      </c>
      <c r="I12" s="2" t="s">
        <v>76</v>
      </c>
      <c r="J12" s="2" t="s">
        <v>53</v>
      </c>
      <c r="K12" s="2" t="s">
        <v>54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260</v>
      </c>
      <c r="S12" s="5">
        <v>1025</v>
      </c>
      <c r="T12" s="5">
        <v>29</v>
      </c>
      <c r="U12" s="5">
        <v>0.28000000000000003</v>
      </c>
      <c r="V12" s="5">
        <v>0.75800000000000001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/>
      <c r="AC12" s="5"/>
      <c r="AD12" s="5"/>
      <c r="AE12" s="5"/>
      <c r="AF12" s="5"/>
      <c r="AG12" s="5">
        <v>0</v>
      </c>
      <c r="AH12" s="2" t="s">
        <v>49</v>
      </c>
      <c r="AI12" s="2" t="s">
        <v>77</v>
      </c>
    </row>
    <row r="13" spans="1:63" ht="16">
      <c r="A13" s="1">
        <v>2014</v>
      </c>
      <c r="B13" s="2">
        <v>1</v>
      </c>
      <c r="C13" s="2">
        <v>12</v>
      </c>
      <c r="D13" s="2" t="s">
        <v>3</v>
      </c>
      <c r="E13" s="2">
        <v>12</v>
      </c>
      <c r="F13" s="2" t="s">
        <v>78</v>
      </c>
      <c r="G13" s="2" t="s">
        <v>43</v>
      </c>
      <c r="H13" s="4">
        <v>2500000</v>
      </c>
      <c r="I13" s="2" t="s">
        <v>79</v>
      </c>
      <c r="J13" s="2" t="s">
        <v>38</v>
      </c>
      <c r="K13" s="2" t="s">
        <v>39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/>
      <c r="S13" s="2"/>
      <c r="T13" s="2"/>
      <c r="U13" s="2"/>
      <c r="V13" s="2"/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179</v>
      </c>
      <c r="AC13" s="2">
        <v>27</v>
      </c>
      <c r="AD13" s="2">
        <v>44</v>
      </c>
      <c r="AE13" s="2">
        <v>4.91</v>
      </c>
      <c r="AF13" s="2">
        <v>1.5</v>
      </c>
      <c r="AG13" s="5">
        <v>0</v>
      </c>
      <c r="AH13" s="2" t="s">
        <v>40</v>
      </c>
      <c r="AI13" s="2" t="s">
        <v>80</v>
      </c>
    </row>
    <row r="14" spans="1:63" ht="30">
      <c r="A14" s="1">
        <v>2014</v>
      </c>
      <c r="B14" s="2">
        <v>1</v>
      </c>
      <c r="C14" s="2">
        <v>13</v>
      </c>
      <c r="D14" s="2" t="s">
        <v>3</v>
      </c>
      <c r="E14" s="2">
        <v>13</v>
      </c>
      <c r="F14" s="2" t="s">
        <v>81</v>
      </c>
      <c r="G14" s="2" t="s">
        <v>43</v>
      </c>
      <c r="H14" s="4">
        <v>2900000</v>
      </c>
      <c r="I14" s="2" t="s">
        <v>82</v>
      </c>
      <c r="J14" s="2" t="s">
        <v>58</v>
      </c>
      <c r="K14" s="2" t="s">
        <v>54</v>
      </c>
      <c r="L14" s="2">
        <v>35.4</v>
      </c>
      <c r="M14" s="2">
        <v>1052</v>
      </c>
      <c r="N14" s="2">
        <v>4266</v>
      </c>
      <c r="O14" s="2">
        <v>155</v>
      </c>
      <c r="P14" s="2">
        <v>0.29799999999999999</v>
      </c>
      <c r="Q14" s="2">
        <v>0.83399999999999996</v>
      </c>
      <c r="R14" s="2">
        <v>277</v>
      </c>
      <c r="S14" s="2">
        <v>1093</v>
      </c>
      <c r="T14" s="2">
        <v>19</v>
      </c>
      <c r="U14" s="2">
        <v>0.31</v>
      </c>
      <c r="V14" s="2">
        <v>0.82499999999999996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/>
      <c r="AC14" s="5"/>
      <c r="AD14" s="5"/>
      <c r="AE14" s="5"/>
      <c r="AF14" s="5"/>
      <c r="AG14" s="5">
        <v>2</v>
      </c>
      <c r="AH14" s="2" t="s">
        <v>49</v>
      </c>
      <c r="AI14" s="2" t="s">
        <v>50</v>
      </c>
    </row>
    <row r="15" spans="1:63" ht="16">
      <c r="A15" s="1">
        <v>2014</v>
      </c>
      <c r="B15" s="2">
        <v>1</v>
      </c>
      <c r="C15" s="2">
        <v>14</v>
      </c>
      <c r="D15" s="2" t="s">
        <v>3</v>
      </c>
      <c r="E15" s="2">
        <v>14</v>
      </c>
      <c r="F15" s="2" t="s">
        <v>83</v>
      </c>
      <c r="G15" s="2" t="s">
        <v>43</v>
      </c>
      <c r="H15" s="4">
        <v>2613200</v>
      </c>
      <c r="I15" s="2" t="s">
        <v>84</v>
      </c>
      <c r="J15" s="2" t="s">
        <v>45</v>
      </c>
      <c r="K15" s="2" t="s">
        <v>39</v>
      </c>
      <c r="L15" s="2">
        <v>-1.2</v>
      </c>
      <c r="M15" s="2">
        <v>28</v>
      </c>
      <c r="N15" s="2">
        <v>40</v>
      </c>
      <c r="O15" s="2">
        <v>0</v>
      </c>
      <c r="P15" s="2">
        <v>0.1</v>
      </c>
      <c r="Q15" s="2">
        <v>0.26300000000000001</v>
      </c>
      <c r="R15" s="2"/>
      <c r="S15" s="2"/>
      <c r="T15" s="2"/>
      <c r="U15" s="2"/>
      <c r="V15" s="2"/>
      <c r="W15" s="2">
        <v>71</v>
      </c>
      <c r="X15" s="2">
        <v>8</v>
      </c>
      <c r="Y15" s="2">
        <v>16</v>
      </c>
      <c r="Z15" s="2">
        <v>5.55</v>
      </c>
      <c r="AA15" s="2">
        <v>1.58</v>
      </c>
      <c r="AB15" s="2">
        <v>137</v>
      </c>
      <c r="AC15" s="2">
        <v>25</v>
      </c>
      <c r="AD15" s="2">
        <v>45</v>
      </c>
      <c r="AE15" s="2">
        <v>4.4400000000000004</v>
      </c>
      <c r="AF15" s="2">
        <v>1.58</v>
      </c>
      <c r="AG15" s="5">
        <v>0</v>
      </c>
      <c r="AH15" s="2" t="s">
        <v>49</v>
      </c>
      <c r="AI15" s="2" t="s">
        <v>85</v>
      </c>
    </row>
    <row r="16" spans="1:63" ht="16">
      <c r="A16" s="1">
        <v>2014</v>
      </c>
      <c r="B16" s="2">
        <v>1</v>
      </c>
      <c r="C16" s="2">
        <v>15</v>
      </c>
      <c r="D16" s="2" t="s">
        <v>3</v>
      </c>
      <c r="E16" s="2">
        <v>15</v>
      </c>
      <c r="F16" s="2" t="s">
        <v>86</v>
      </c>
      <c r="G16" s="2" t="s">
        <v>43</v>
      </c>
      <c r="H16" s="4">
        <v>2518400</v>
      </c>
      <c r="I16" s="2" t="s">
        <v>87</v>
      </c>
      <c r="J16" s="2" t="s">
        <v>38</v>
      </c>
      <c r="K16" s="2" t="s">
        <v>39</v>
      </c>
      <c r="L16" s="2">
        <v>2.4</v>
      </c>
      <c r="M16" s="2">
        <v>128</v>
      </c>
      <c r="N16" s="2">
        <v>81</v>
      </c>
      <c r="O16" s="2">
        <v>0</v>
      </c>
      <c r="P16" s="2">
        <v>3.6999999999999998E-2</v>
      </c>
      <c r="Q16" s="2">
        <v>0.121</v>
      </c>
      <c r="R16" s="2"/>
      <c r="S16" s="2"/>
      <c r="T16" s="2"/>
      <c r="U16" s="2"/>
      <c r="V16" s="2"/>
      <c r="W16" s="2">
        <v>175</v>
      </c>
      <c r="X16" s="2">
        <v>28</v>
      </c>
      <c r="Y16" s="2">
        <v>25</v>
      </c>
      <c r="Z16" s="2">
        <v>4.51</v>
      </c>
      <c r="AA16" s="2">
        <v>1.47</v>
      </c>
      <c r="AB16" s="2">
        <v>175</v>
      </c>
      <c r="AC16" s="2">
        <v>28</v>
      </c>
      <c r="AD16" s="2">
        <v>25</v>
      </c>
      <c r="AE16" s="2">
        <v>4.51</v>
      </c>
      <c r="AF16" s="2">
        <v>1.47</v>
      </c>
      <c r="AG16" s="5">
        <v>0</v>
      </c>
      <c r="AH16" s="2" t="s">
        <v>49</v>
      </c>
      <c r="AI16" s="2" t="s">
        <v>88</v>
      </c>
    </row>
    <row r="17" spans="1:35" ht="30">
      <c r="A17" s="1">
        <v>2014</v>
      </c>
      <c r="B17" s="2">
        <v>1</v>
      </c>
      <c r="C17" s="2">
        <v>16</v>
      </c>
      <c r="D17" s="2" t="s">
        <v>3</v>
      </c>
      <c r="E17" s="2">
        <v>16</v>
      </c>
      <c r="F17" s="2" t="s">
        <v>89</v>
      </c>
      <c r="G17" s="2" t="s">
        <v>43</v>
      </c>
      <c r="H17" s="4">
        <v>2700000</v>
      </c>
      <c r="I17" s="2" t="s">
        <v>90</v>
      </c>
      <c r="J17" s="2" t="s">
        <v>45</v>
      </c>
      <c r="K17" s="2" t="s">
        <v>39</v>
      </c>
      <c r="L17" s="2">
        <v>0.3</v>
      </c>
      <c r="M17" s="2">
        <v>41</v>
      </c>
      <c r="N17" s="2">
        <v>34</v>
      </c>
      <c r="O17" s="2">
        <v>0</v>
      </c>
      <c r="P17" s="2">
        <v>2.9000000000000001E-2</v>
      </c>
      <c r="Q17" s="2">
        <v>0.113</v>
      </c>
      <c r="R17" s="2"/>
      <c r="S17" s="2"/>
      <c r="T17" s="2"/>
      <c r="U17" s="2"/>
      <c r="V17" s="2"/>
      <c r="W17" s="2">
        <v>77</v>
      </c>
      <c r="X17" s="2">
        <v>14</v>
      </c>
      <c r="Y17" s="2">
        <v>14</v>
      </c>
      <c r="Z17" s="2">
        <v>5.21</v>
      </c>
      <c r="AA17" s="2">
        <v>1.47</v>
      </c>
      <c r="AB17" s="2">
        <v>183</v>
      </c>
      <c r="AC17" s="2">
        <v>36</v>
      </c>
      <c r="AD17" s="2">
        <v>51</v>
      </c>
      <c r="AE17" s="2">
        <v>4.43</v>
      </c>
      <c r="AF17" s="2">
        <v>1.4</v>
      </c>
      <c r="AG17" s="5">
        <v>0</v>
      </c>
      <c r="AH17" s="2" t="s">
        <v>40</v>
      </c>
      <c r="AI17" s="2" t="s">
        <v>91</v>
      </c>
    </row>
    <row r="18" spans="1:35" ht="16">
      <c r="A18" s="1">
        <v>2014</v>
      </c>
      <c r="B18" s="2">
        <v>1</v>
      </c>
      <c r="C18" s="2">
        <v>17</v>
      </c>
      <c r="D18" s="2" t="s">
        <v>3</v>
      </c>
      <c r="E18" s="2">
        <v>17</v>
      </c>
      <c r="F18" s="2" t="s">
        <v>92</v>
      </c>
      <c r="G18" s="2" t="s">
        <v>43</v>
      </c>
      <c r="H18" s="4">
        <v>2200600</v>
      </c>
      <c r="I18" s="2" t="s">
        <v>93</v>
      </c>
      <c r="J18" s="2" t="s">
        <v>38</v>
      </c>
      <c r="K18" s="2" t="s">
        <v>39</v>
      </c>
      <c r="L18" s="2">
        <v>2.2000000000000002</v>
      </c>
      <c r="M18" s="2">
        <v>47</v>
      </c>
      <c r="N18" s="2">
        <v>69</v>
      </c>
      <c r="O18" s="2">
        <v>0</v>
      </c>
      <c r="P18" s="2">
        <v>8.6999999999999994E-2</v>
      </c>
      <c r="Q18" s="2">
        <v>0.24099999999999999</v>
      </c>
      <c r="R18" s="2"/>
      <c r="S18" s="2"/>
      <c r="T18" s="2"/>
      <c r="U18" s="2"/>
      <c r="V18" s="2"/>
      <c r="W18" s="2">
        <v>67</v>
      </c>
      <c r="X18" s="2">
        <v>16</v>
      </c>
      <c r="Y18" s="2">
        <v>18</v>
      </c>
      <c r="Z18" s="2">
        <v>4.1100000000000003</v>
      </c>
      <c r="AA18" s="2">
        <v>1.39</v>
      </c>
      <c r="AB18" s="2">
        <v>147</v>
      </c>
      <c r="AC18" s="2">
        <v>8</v>
      </c>
      <c r="AD18" s="2">
        <v>25</v>
      </c>
      <c r="AE18" s="2">
        <v>5.55</v>
      </c>
      <c r="AF18" s="2">
        <v>1.63</v>
      </c>
      <c r="AG18" s="5">
        <v>0</v>
      </c>
      <c r="AH18" s="2" t="s">
        <v>49</v>
      </c>
      <c r="AI18" s="2" t="s">
        <v>94</v>
      </c>
    </row>
    <row r="19" spans="1:35" ht="30">
      <c r="A19" s="1">
        <v>2014</v>
      </c>
      <c r="B19" s="2">
        <v>1</v>
      </c>
      <c r="C19" s="2">
        <v>18</v>
      </c>
      <c r="D19" s="2" t="s">
        <v>3</v>
      </c>
      <c r="E19" s="2">
        <v>18</v>
      </c>
      <c r="F19" s="2" t="s">
        <v>95</v>
      </c>
      <c r="G19" s="2" t="s">
        <v>43</v>
      </c>
      <c r="H19" s="4">
        <v>2511100</v>
      </c>
      <c r="I19" s="2" t="s">
        <v>96</v>
      </c>
      <c r="J19" s="2" t="s">
        <v>45</v>
      </c>
      <c r="K19" s="2" t="s">
        <v>39</v>
      </c>
      <c r="L19" s="2">
        <v>3.7</v>
      </c>
      <c r="M19" s="2">
        <v>61</v>
      </c>
      <c r="N19" s="2">
        <v>71</v>
      </c>
      <c r="O19" s="2">
        <v>0</v>
      </c>
      <c r="P19" s="2">
        <v>4.2000000000000003E-2</v>
      </c>
      <c r="Q19" s="2">
        <v>0.11</v>
      </c>
      <c r="R19" s="2"/>
      <c r="S19" s="2"/>
      <c r="T19" s="2"/>
      <c r="U19" s="2"/>
      <c r="V19" s="2"/>
      <c r="W19" s="2">
        <v>120</v>
      </c>
      <c r="X19" s="2">
        <v>27</v>
      </c>
      <c r="Y19" s="2">
        <v>36</v>
      </c>
      <c r="Z19" s="2">
        <v>4.9800000000000004</v>
      </c>
      <c r="AA19" s="2">
        <v>1.45</v>
      </c>
      <c r="AB19" s="2">
        <v>89</v>
      </c>
      <c r="AC19" s="2">
        <v>23</v>
      </c>
      <c r="AD19" s="2">
        <v>19</v>
      </c>
      <c r="AE19" s="2">
        <v>3.69</v>
      </c>
      <c r="AF19" s="2">
        <v>1.25</v>
      </c>
      <c r="AG19" s="5">
        <v>0</v>
      </c>
      <c r="AH19" s="2" t="s">
        <v>49</v>
      </c>
      <c r="AI19" s="2" t="s">
        <v>97</v>
      </c>
    </row>
    <row r="20" spans="1:35" ht="16">
      <c r="A20" s="1">
        <v>2014</v>
      </c>
      <c r="B20" s="2">
        <v>1</v>
      </c>
      <c r="C20" s="2">
        <v>19</v>
      </c>
      <c r="D20" s="2" t="s">
        <v>3</v>
      </c>
      <c r="E20" s="2">
        <v>19</v>
      </c>
      <c r="F20" s="2" t="s">
        <v>98</v>
      </c>
      <c r="G20" s="2" t="s">
        <v>43</v>
      </c>
      <c r="H20" s="4">
        <v>1990500</v>
      </c>
      <c r="I20" s="2" t="s">
        <v>99</v>
      </c>
      <c r="J20" s="2" t="s">
        <v>45</v>
      </c>
      <c r="K20" s="2" t="s">
        <v>39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/>
      <c r="S20" s="2"/>
      <c r="T20" s="2"/>
      <c r="U20" s="2"/>
      <c r="V20" s="2"/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173</v>
      </c>
      <c r="AC20" s="2">
        <v>11</v>
      </c>
      <c r="AD20" s="2">
        <v>12</v>
      </c>
      <c r="AE20" s="2">
        <v>5.5</v>
      </c>
      <c r="AF20" s="2">
        <v>1.84</v>
      </c>
      <c r="AG20" s="5">
        <v>0</v>
      </c>
      <c r="AH20" s="2" t="s">
        <v>49</v>
      </c>
      <c r="AI20" s="2" t="s">
        <v>100</v>
      </c>
    </row>
    <row r="21" spans="1:35" ht="16">
      <c r="A21" s="1">
        <v>2014</v>
      </c>
      <c r="B21" s="2">
        <v>1</v>
      </c>
      <c r="C21" s="2">
        <v>20</v>
      </c>
      <c r="D21" s="2" t="s">
        <v>3</v>
      </c>
      <c r="E21" s="2">
        <v>20</v>
      </c>
      <c r="F21" s="2" t="s">
        <v>101</v>
      </c>
      <c r="G21" s="2" t="s">
        <v>43</v>
      </c>
      <c r="H21" s="4">
        <v>2035500</v>
      </c>
      <c r="I21" s="2" t="s">
        <v>102</v>
      </c>
      <c r="J21" s="2" t="s">
        <v>103</v>
      </c>
      <c r="K21" s="2" t="s">
        <v>54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478</v>
      </c>
      <c r="S21" s="2">
        <v>1729</v>
      </c>
      <c r="T21" s="2">
        <v>60</v>
      </c>
      <c r="U21" s="2">
        <v>0.25</v>
      </c>
      <c r="V21" s="2">
        <v>0.755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478</v>
      </c>
      <c r="AC21" s="2">
        <v>1729</v>
      </c>
      <c r="AD21" s="2"/>
      <c r="AE21" s="2"/>
      <c r="AF21" s="2"/>
      <c r="AG21" s="5">
        <v>0</v>
      </c>
      <c r="AH21" s="2" t="s">
        <v>49</v>
      </c>
      <c r="AI21" s="2" t="s">
        <v>104</v>
      </c>
    </row>
    <row r="22" spans="1:35" ht="30">
      <c r="A22" s="1">
        <v>2014</v>
      </c>
      <c r="B22" s="2">
        <v>1</v>
      </c>
      <c r="C22" s="2">
        <v>21</v>
      </c>
      <c r="D22" s="2" t="s">
        <v>3</v>
      </c>
      <c r="E22" s="2">
        <v>21</v>
      </c>
      <c r="F22" s="2" t="s">
        <v>105</v>
      </c>
      <c r="G22" s="2" t="s">
        <v>43</v>
      </c>
      <c r="H22" s="4">
        <v>1900000</v>
      </c>
      <c r="I22" s="2" t="s">
        <v>106</v>
      </c>
      <c r="J22" s="2" t="s">
        <v>62</v>
      </c>
      <c r="K22" s="2" t="s">
        <v>54</v>
      </c>
      <c r="L22" s="2">
        <v>2.9</v>
      </c>
      <c r="M22" s="2">
        <v>372</v>
      </c>
      <c r="N22" s="2">
        <v>859</v>
      </c>
      <c r="O22" s="2">
        <v>21</v>
      </c>
      <c r="P22" s="2">
        <v>0.21299999999999999</v>
      </c>
      <c r="Q22" s="2">
        <v>0.63100000000000001</v>
      </c>
      <c r="R22" s="2">
        <v>461</v>
      </c>
      <c r="S22" s="2">
        <v>1651</v>
      </c>
      <c r="T22" s="2">
        <v>55</v>
      </c>
      <c r="U22" s="2">
        <v>0.26100000000000001</v>
      </c>
      <c r="V22" s="2">
        <v>0.80100000000000005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/>
      <c r="AC22" s="2"/>
      <c r="AD22" s="2"/>
      <c r="AE22" s="2"/>
      <c r="AF22" s="2"/>
      <c r="AG22" s="5">
        <v>0</v>
      </c>
      <c r="AH22" s="2" t="s">
        <v>49</v>
      </c>
      <c r="AI22" s="2" t="s">
        <v>107</v>
      </c>
    </row>
    <row r="23" spans="1:35" ht="16">
      <c r="A23" s="1">
        <v>2014</v>
      </c>
      <c r="B23" s="2">
        <v>1</v>
      </c>
      <c r="C23" s="2">
        <v>22</v>
      </c>
      <c r="D23" s="2" t="s">
        <v>3</v>
      </c>
      <c r="E23" s="2">
        <v>22</v>
      </c>
      <c r="F23" s="2" t="s">
        <v>108</v>
      </c>
      <c r="G23" s="2" t="s">
        <v>43</v>
      </c>
      <c r="H23" s="4">
        <v>2500000</v>
      </c>
      <c r="I23" s="2" t="s">
        <v>109</v>
      </c>
      <c r="J23" s="2" t="s">
        <v>45</v>
      </c>
      <c r="K23" s="2" t="s">
        <v>39</v>
      </c>
      <c r="L23" s="2">
        <v>0.3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/>
      <c r="S23" s="2"/>
      <c r="T23" s="2"/>
      <c r="U23" s="2"/>
      <c r="V23" s="2"/>
      <c r="W23" s="2">
        <v>6</v>
      </c>
      <c r="X23" s="2">
        <v>0</v>
      </c>
      <c r="Y23" s="2">
        <v>0</v>
      </c>
      <c r="Z23" s="2">
        <v>1.42</v>
      </c>
      <c r="AA23" s="2">
        <v>0.87</v>
      </c>
      <c r="AB23" s="2">
        <v>250</v>
      </c>
      <c r="AC23" s="2">
        <v>48</v>
      </c>
      <c r="AD23" s="2">
        <v>41</v>
      </c>
      <c r="AE23" s="2">
        <v>4.47</v>
      </c>
      <c r="AF23" s="2">
        <v>1.43</v>
      </c>
      <c r="AG23" s="5">
        <v>0</v>
      </c>
      <c r="AH23" s="2" t="s">
        <v>40</v>
      </c>
      <c r="AI23" s="2" t="s">
        <v>110</v>
      </c>
    </row>
    <row r="24" spans="1:35" ht="16">
      <c r="A24" s="1">
        <v>2014</v>
      </c>
      <c r="B24" s="2">
        <v>1</v>
      </c>
      <c r="C24" s="2">
        <v>23</v>
      </c>
      <c r="D24" s="2" t="s">
        <v>3</v>
      </c>
      <c r="E24" s="2">
        <v>23</v>
      </c>
      <c r="F24" s="2" t="s">
        <v>111</v>
      </c>
      <c r="G24" s="2" t="s">
        <v>43</v>
      </c>
      <c r="H24" s="4">
        <v>2000000</v>
      </c>
      <c r="I24" s="2" t="s">
        <v>112</v>
      </c>
      <c r="J24" s="2" t="s">
        <v>62</v>
      </c>
      <c r="K24" s="2" t="s">
        <v>54</v>
      </c>
      <c r="L24" s="2">
        <v>-0.3</v>
      </c>
      <c r="M24" s="2">
        <v>119</v>
      </c>
      <c r="N24" s="2">
        <v>309</v>
      </c>
      <c r="O24" s="2">
        <v>7</v>
      </c>
      <c r="P24" s="2">
        <v>0.23</v>
      </c>
      <c r="Q24" s="2">
        <v>0.61699999999999999</v>
      </c>
      <c r="R24" s="2">
        <v>712</v>
      </c>
      <c r="S24" s="2">
        <v>2674</v>
      </c>
      <c r="T24" s="2">
        <v>53</v>
      </c>
      <c r="U24" s="2">
        <v>0.26100000000000001</v>
      </c>
      <c r="V24" s="2">
        <v>0.72399999999999998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/>
      <c r="AC24" s="2"/>
      <c r="AD24" s="2"/>
      <c r="AE24" s="2"/>
      <c r="AF24" s="2"/>
      <c r="AG24" s="5">
        <v>0</v>
      </c>
      <c r="AH24" s="2" t="s">
        <v>40</v>
      </c>
      <c r="AI24" s="2" t="s">
        <v>113</v>
      </c>
    </row>
    <row r="25" spans="1:35" ht="16">
      <c r="A25" s="1">
        <v>2014</v>
      </c>
      <c r="B25" s="2">
        <v>1</v>
      </c>
      <c r="C25" s="2">
        <v>24</v>
      </c>
      <c r="D25" s="2" t="s">
        <v>3</v>
      </c>
      <c r="E25" s="2">
        <v>24</v>
      </c>
      <c r="F25" s="2" t="s">
        <v>114</v>
      </c>
      <c r="G25" s="2" t="s">
        <v>43</v>
      </c>
      <c r="H25" s="4">
        <v>1800000</v>
      </c>
      <c r="I25" s="2" t="s">
        <v>115</v>
      </c>
      <c r="J25" s="2" t="s">
        <v>58</v>
      </c>
      <c r="K25" s="2" t="s">
        <v>54</v>
      </c>
      <c r="L25" s="2">
        <v>-2.6</v>
      </c>
      <c r="M25" s="2">
        <v>183</v>
      </c>
      <c r="N25" s="2">
        <v>494</v>
      </c>
      <c r="O25" s="2">
        <v>5</v>
      </c>
      <c r="P25" s="2">
        <v>0.21299999999999999</v>
      </c>
      <c r="Q25" s="2">
        <v>0.58199999999999996</v>
      </c>
      <c r="R25" s="2">
        <v>715</v>
      </c>
      <c r="S25" s="2">
        <v>2777</v>
      </c>
      <c r="T25" s="2">
        <v>40</v>
      </c>
      <c r="U25" s="2">
        <v>0.26100000000000001</v>
      </c>
      <c r="V25" s="2">
        <v>0.71599999999999997</v>
      </c>
      <c r="W25" s="2">
        <v>1</v>
      </c>
      <c r="X25" s="2">
        <v>0</v>
      </c>
      <c r="Y25" s="2">
        <v>0</v>
      </c>
      <c r="Z25" s="2">
        <v>0</v>
      </c>
      <c r="AA25" s="2">
        <v>2</v>
      </c>
      <c r="AB25" s="2"/>
      <c r="AC25" s="2"/>
      <c r="AD25" s="2"/>
      <c r="AE25" s="2"/>
      <c r="AF25" s="2"/>
      <c r="AG25" s="5">
        <v>0</v>
      </c>
      <c r="AH25" s="2" t="s">
        <v>40</v>
      </c>
      <c r="AI25" s="2" t="s">
        <v>116</v>
      </c>
    </row>
    <row r="26" spans="1:35" ht="30">
      <c r="A26" s="1">
        <v>2014</v>
      </c>
      <c r="B26" s="2">
        <v>1</v>
      </c>
      <c r="C26" s="2">
        <v>25</v>
      </c>
      <c r="D26" s="2" t="s">
        <v>3</v>
      </c>
      <c r="E26" s="2">
        <v>25</v>
      </c>
      <c r="F26" s="2" t="s">
        <v>117</v>
      </c>
      <c r="G26" s="2" t="s">
        <v>43</v>
      </c>
      <c r="H26" s="4">
        <v>1750000</v>
      </c>
      <c r="I26" s="2" t="s">
        <v>118</v>
      </c>
      <c r="J26" s="2" t="s">
        <v>119</v>
      </c>
      <c r="K26" s="2" t="s">
        <v>54</v>
      </c>
      <c r="L26" s="2">
        <v>34.5</v>
      </c>
      <c r="M26" s="2">
        <v>953</v>
      </c>
      <c r="N26" s="2">
        <v>3464</v>
      </c>
      <c r="O26" s="2">
        <v>167</v>
      </c>
      <c r="P26" s="2">
        <v>0.24099999999999999</v>
      </c>
      <c r="Q26" s="2">
        <v>0.78700000000000003</v>
      </c>
      <c r="R26" s="2">
        <v>321</v>
      </c>
      <c r="S26" s="2">
        <v>1211</v>
      </c>
      <c r="T26" s="2">
        <v>80</v>
      </c>
      <c r="U26" s="2">
        <v>0.24399999999999999</v>
      </c>
      <c r="V26" s="2">
        <v>0.84399999999999997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/>
      <c r="AC26" s="2"/>
      <c r="AD26" s="2"/>
      <c r="AE26" s="2"/>
      <c r="AF26" s="2"/>
      <c r="AG26" s="5">
        <v>3</v>
      </c>
      <c r="AH26" s="2" t="s">
        <v>49</v>
      </c>
      <c r="AI26" s="2" t="s">
        <v>120</v>
      </c>
    </row>
    <row r="27" spans="1:35" ht="16">
      <c r="A27" s="1">
        <v>2014</v>
      </c>
      <c r="B27" s="2">
        <v>1</v>
      </c>
      <c r="C27" s="2">
        <v>26</v>
      </c>
      <c r="D27" s="2" t="s">
        <v>3</v>
      </c>
      <c r="E27" s="2">
        <v>26</v>
      </c>
      <c r="F27" s="2" t="s">
        <v>121</v>
      </c>
      <c r="G27" s="2" t="s">
        <v>43</v>
      </c>
      <c r="H27" s="4">
        <v>1870500</v>
      </c>
      <c r="I27" s="2" t="s">
        <v>122</v>
      </c>
      <c r="J27" s="2" t="s">
        <v>58</v>
      </c>
      <c r="K27" s="2" t="s">
        <v>54</v>
      </c>
      <c r="L27" s="2">
        <v>0.2</v>
      </c>
      <c r="M27" s="2">
        <v>357</v>
      </c>
      <c r="N27" s="2">
        <v>1106</v>
      </c>
      <c r="O27" s="2">
        <v>42</v>
      </c>
      <c r="P27" s="2">
        <v>0.23799999999999999</v>
      </c>
      <c r="Q27" s="2">
        <v>0.68500000000000005</v>
      </c>
      <c r="R27" s="2">
        <v>543</v>
      </c>
      <c r="S27" s="2">
        <v>2056</v>
      </c>
      <c r="T27" s="2">
        <v>97</v>
      </c>
      <c r="U27" s="2">
        <v>0.26100000000000001</v>
      </c>
      <c r="V27" s="2">
        <v>0.80400000000000005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/>
      <c r="AC27" s="2"/>
      <c r="AD27" s="2"/>
      <c r="AE27" s="2"/>
      <c r="AF27" s="2"/>
      <c r="AG27" s="5">
        <v>0</v>
      </c>
      <c r="AH27" s="2" t="s">
        <v>40</v>
      </c>
      <c r="AI27" s="2" t="s">
        <v>123</v>
      </c>
    </row>
    <row r="28" spans="1:35" ht="16">
      <c r="A28" s="1">
        <v>2014</v>
      </c>
      <c r="B28" s="2">
        <v>1</v>
      </c>
      <c r="C28" s="2">
        <v>27</v>
      </c>
      <c r="D28" s="2" t="s">
        <v>3</v>
      </c>
      <c r="E28" s="2">
        <v>27</v>
      </c>
      <c r="F28" s="2" t="s">
        <v>124</v>
      </c>
      <c r="G28" s="2" t="s">
        <v>43</v>
      </c>
      <c r="H28" s="4">
        <v>1843000</v>
      </c>
      <c r="I28" s="2" t="s">
        <v>125</v>
      </c>
      <c r="J28" s="2" t="s">
        <v>45</v>
      </c>
      <c r="K28" s="2" t="s">
        <v>39</v>
      </c>
      <c r="L28" s="2">
        <v>1.9</v>
      </c>
      <c r="M28" s="2">
        <v>84</v>
      </c>
      <c r="N28" s="2">
        <v>108</v>
      </c>
      <c r="O28" s="2">
        <v>1</v>
      </c>
      <c r="P28" s="2">
        <v>0.16700000000000001</v>
      </c>
      <c r="Q28" s="2">
        <v>0.38200000000000001</v>
      </c>
      <c r="R28" s="2"/>
      <c r="S28" s="2"/>
      <c r="T28" s="2"/>
      <c r="U28" s="2"/>
      <c r="V28" s="2"/>
      <c r="W28" s="2">
        <v>175</v>
      </c>
      <c r="X28" s="2">
        <v>31</v>
      </c>
      <c r="Y28" s="2">
        <v>43</v>
      </c>
      <c r="Z28" s="2">
        <v>4.95</v>
      </c>
      <c r="AA28" s="2">
        <v>1.39</v>
      </c>
      <c r="AB28" s="2">
        <v>61</v>
      </c>
      <c r="AC28" s="2">
        <v>25</v>
      </c>
      <c r="AD28" s="2">
        <v>11</v>
      </c>
      <c r="AE28" s="2">
        <v>2.13</v>
      </c>
      <c r="AF28" s="2">
        <v>1.07</v>
      </c>
      <c r="AG28" s="5">
        <v>0</v>
      </c>
      <c r="AH28" s="2" t="s">
        <v>49</v>
      </c>
      <c r="AI28" s="2" t="s">
        <v>126</v>
      </c>
    </row>
    <row r="29" spans="1:35" ht="16">
      <c r="A29" s="1">
        <v>2014</v>
      </c>
      <c r="B29" s="2">
        <v>1</v>
      </c>
      <c r="C29" s="2">
        <v>28</v>
      </c>
      <c r="D29" s="2" t="s">
        <v>3</v>
      </c>
      <c r="E29" s="2">
        <v>28</v>
      </c>
      <c r="F29" s="2" t="s">
        <v>92</v>
      </c>
      <c r="G29" s="2" t="s">
        <v>43</v>
      </c>
      <c r="H29" s="4">
        <v>1925000</v>
      </c>
      <c r="I29" s="2" t="s">
        <v>127</v>
      </c>
      <c r="J29" s="2" t="s">
        <v>38</v>
      </c>
      <c r="K29" s="2" t="s">
        <v>39</v>
      </c>
      <c r="L29" s="2">
        <v>-0.1</v>
      </c>
      <c r="M29" s="2">
        <v>0</v>
      </c>
      <c r="N29" s="2">
        <v>0</v>
      </c>
      <c r="O29" s="2">
        <v>0</v>
      </c>
      <c r="P29" s="3"/>
      <c r="Q29" s="3"/>
      <c r="R29" s="3"/>
      <c r="S29" s="3"/>
      <c r="T29" s="3"/>
      <c r="U29" s="3"/>
      <c r="V29" s="3"/>
      <c r="W29" s="2">
        <v>7</v>
      </c>
      <c r="X29" s="2">
        <v>1</v>
      </c>
      <c r="Y29" s="2">
        <v>0</v>
      </c>
      <c r="Z29" s="2">
        <v>6.75</v>
      </c>
      <c r="AA29" s="2">
        <v>1.5</v>
      </c>
      <c r="AB29" s="2">
        <v>193</v>
      </c>
      <c r="AC29" s="2">
        <v>49</v>
      </c>
      <c r="AD29" s="2">
        <v>49</v>
      </c>
      <c r="AE29" s="2">
        <v>4.54</v>
      </c>
      <c r="AF29" s="2">
        <v>1.44</v>
      </c>
      <c r="AG29" s="5">
        <v>0</v>
      </c>
      <c r="AH29" s="2" t="s">
        <v>40</v>
      </c>
      <c r="AI29" s="2" t="s">
        <v>128</v>
      </c>
    </row>
    <row r="30" spans="1:35" ht="16">
      <c r="A30" s="1">
        <v>2014</v>
      </c>
      <c r="B30" s="2">
        <v>1</v>
      </c>
      <c r="C30" s="2">
        <v>29</v>
      </c>
      <c r="D30" s="2" t="s">
        <v>3</v>
      </c>
      <c r="E30" s="2">
        <v>29</v>
      </c>
      <c r="F30" s="2" t="s">
        <v>98</v>
      </c>
      <c r="G30" s="2" t="s">
        <v>43</v>
      </c>
      <c r="H30" s="4">
        <v>1788000</v>
      </c>
      <c r="I30" s="2" t="s">
        <v>129</v>
      </c>
      <c r="J30" s="2" t="s">
        <v>58</v>
      </c>
      <c r="K30" s="2" t="s">
        <v>54</v>
      </c>
      <c r="L30" s="2">
        <v>-0.2</v>
      </c>
      <c r="M30" s="2">
        <v>135</v>
      </c>
      <c r="N30" s="2">
        <v>234</v>
      </c>
      <c r="O30" s="2">
        <v>2</v>
      </c>
      <c r="P30" s="2">
        <v>0.22700000000000001</v>
      </c>
      <c r="Q30" s="2">
        <v>0.63</v>
      </c>
      <c r="R30" s="2"/>
      <c r="S30" s="2"/>
      <c r="T30" s="2"/>
      <c r="U30" s="2"/>
      <c r="V30" s="2"/>
      <c r="W30" s="2">
        <v>5</v>
      </c>
      <c r="X30" s="2">
        <v>0</v>
      </c>
      <c r="Y30" s="2">
        <v>0</v>
      </c>
      <c r="Z30" s="2">
        <v>7.71</v>
      </c>
      <c r="AA30" s="2">
        <v>1.93</v>
      </c>
      <c r="AB30" s="2">
        <v>4</v>
      </c>
      <c r="AC30" s="2">
        <v>1</v>
      </c>
      <c r="AD30" s="2">
        <v>0</v>
      </c>
      <c r="AE30" s="2">
        <v>5.0599999999999996</v>
      </c>
      <c r="AF30" s="2">
        <v>2.06</v>
      </c>
      <c r="AG30" s="5">
        <v>0</v>
      </c>
      <c r="AH30" s="2" t="s">
        <v>49</v>
      </c>
      <c r="AI30" s="2" t="s">
        <v>130</v>
      </c>
    </row>
    <row r="31" spans="1:35" ht="16">
      <c r="A31" s="1">
        <v>2014</v>
      </c>
      <c r="B31" s="2">
        <v>1</v>
      </c>
      <c r="C31" s="2">
        <v>30</v>
      </c>
      <c r="D31" s="2" t="s">
        <v>3</v>
      </c>
      <c r="E31" s="2">
        <v>30</v>
      </c>
      <c r="F31" s="2" t="s">
        <v>131</v>
      </c>
      <c r="G31" s="2" t="s">
        <v>43</v>
      </c>
      <c r="H31" s="4">
        <v>1750000</v>
      </c>
      <c r="I31" s="2" t="s">
        <v>132</v>
      </c>
      <c r="J31" s="2" t="s">
        <v>45</v>
      </c>
      <c r="K31" s="2" t="s">
        <v>39</v>
      </c>
      <c r="L31" s="2">
        <v>0</v>
      </c>
      <c r="M31" s="2">
        <v>0</v>
      </c>
      <c r="N31" s="2">
        <v>0</v>
      </c>
      <c r="O31" s="2">
        <v>0</v>
      </c>
      <c r="P31" s="3"/>
      <c r="Q31" s="3"/>
      <c r="R31" s="3"/>
      <c r="S31" s="3"/>
      <c r="T31" s="3"/>
      <c r="U31" s="3"/>
      <c r="V31" s="3"/>
      <c r="W31" s="2">
        <v>24</v>
      </c>
      <c r="X31" s="2">
        <v>0</v>
      </c>
      <c r="Y31" s="2">
        <v>2</v>
      </c>
      <c r="Z31" s="2">
        <v>4.76</v>
      </c>
      <c r="AA31" s="2">
        <v>1.71</v>
      </c>
      <c r="AB31" s="2">
        <v>62</v>
      </c>
      <c r="AC31" s="2">
        <v>5</v>
      </c>
      <c r="AD31" s="2">
        <v>16</v>
      </c>
      <c r="AE31" s="2">
        <v>6.28</v>
      </c>
      <c r="AF31" s="2">
        <v>1.83</v>
      </c>
      <c r="AG31" s="5">
        <v>0</v>
      </c>
      <c r="AH31" s="2" t="s">
        <v>40</v>
      </c>
      <c r="AI31" s="2" t="s">
        <v>133</v>
      </c>
    </row>
    <row r="32" spans="1:35" ht="16">
      <c r="A32" s="1">
        <v>2014</v>
      </c>
      <c r="B32" s="2">
        <v>1</v>
      </c>
      <c r="C32" s="2">
        <v>31</v>
      </c>
      <c r="D32" s="2" t="s">
        <v>3</v>
      </c>
      <c r="E32" s="2">
        <v>31</v>
      </c>
      <c r="F32" s="2" t="s">
        <v>105</v>
      </c>
      <c r="G32" s="2" t="s">
        <v>43</v>
      </c>
      <c r="H32" s="4">
        <v>1600000</v>
      </c>
      <c r="I32" s="2" t="s">
        <v>134</v>
      </c>
      <c r="J32" s="2" t="s">
        <v>38</v>
      </c>
      <c r="K32" s="2" t="s">
        <v>39</v>
      </c>
      <c r="L32" s="2">
        <v>-0.9</v>
      </c>
      <c r="M32" s="2">
        <v>3</v>
      </c>
      <c r="N32" s="2">
        <v>4</v>
      </c>
      <c r="O32" s="2">
        <v>0</v>
      </c>
      <c r="P32" s="2">
        <v>0.25</v>
      </c>
      <c r="Q32" s="2">
        <v>0.5</v>
      </c>
      <c r="R32" s="2"/>
      <c r="S32" s="2"/>
      <c r="T32" s="2"/>
      <c r="U32" s="2"/>
      <c r="V32" s="2"/>
      <c r="W32" s="2">
        <v>48</v>
      </c>
      <c r="X32" s="2">
        <v>12</v>
      </c>
      <c r="Y32" s="2">
        <v>12</v>
      </c>
      <c r="Z32" s="2">
        <v>5.47</v>
      </c>
      <c r="AA32" s="2">
        <v>1.63</v>
      </c>
      <c r="AB32" s="2">
        <v>186</v>
      </c>
      <c r="AC32" s="2">
        <v>52</v>
      </c>
      <c r="AD32" s="2">
        <v>49</v>
      </c>
      <c r="AE32" s="2">
        <v>4.2</v>
      </c>
      <c r="AF32" s="2">
        <v>1.63</v>
      </c>
      <c r="AG32" s="5">
        <v>0</v>
      </c>
      <c r="AH32" s="2" t="s">
        <v>40</v>
      </c>
      <c r="AI32" s="2" t="s">
        <v>135</v>
      </c>
    </row>
    <row r="33" spans="1:35" ht="16">
      <c r="A33" s="1">
        <v>2014</v>
      </c>
      <c r="B33" s="2">
        <v>1</v>
      </c>
      <c r="C33" s="2">
        <v>32</v>
      </c>
      <c r="D33" s="2" t="s">
        <v>3</v>
      </c>
      <c r="E33" s="2">
        <v>32</v>
      </c>
      <c r="F33" s="2" t="s">
        <v>136</v>
      </c>
      <c r="G33" s="2" t="s">
        <v>43</v>
      </c>
      <c r="H33" s="4">
        <v>1705000</v>
      </c>
      <c r="I33" s="2" t="s">
        <v>137</v>
      </c>
      <c r="J33" s="2" t="s">
        <v>62</v>
      </c>
      <c r="K33" s="2" t="s">
        <v>54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534</v>
      </c>
      <c r="S33" s="2">
        <v>1754</v>
      </c>
      <c r="T33" s="2">
        <v>47</v>
      </c>
      <c r="U33" s="2">
        <v>0.21299999999999999</v>
      </c>
      <c r="V33" s="2">
        <v>0.69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/>
      <c r="AC33" s="2"/>
      <c r="AD33" s="2"/>
      <c r="AE33" s="2"/>
      <c r="AF33" s="2"/>
      <c r="AG33" s="5">
        <v>0</v>
      </c>
      <c r="AH33" s="2" t="s">
        <v>40</v>
      </c>
      <c r="AI33" s="2" t="s">
        <v>138</v>
      </c>
    </row>
    <row r="34" spans="1:35" ht="16">
      <c r="A34" s="1">
        <v>2014</v>
      </c>
      <c r="B34" s="2">
        <v>1</v>
      </c>
      <c r="C34" s="2">
        <v>33</v>
      </c>
      <c r="D34" s="2" t="s">
        <v>3</v>
      </c>
      <c r="E34" s="2">
        <v>33</v>
      </c>
      <c r="F34" s="2" t="s">
        <v>121</v>
      </c>
      <c r="G34" s="2" t="s">
        <v>43</v>
      </c>
      <c r="H34" s="4">
        <v>1500000</v>
      </c>
      <c r="I34" s="2" t="s">
        <v>139</v>
      </c>
      <c r="J34" s="2" t="s">
        <v>45</v>
      </c>
      <c r="K34" s="2" t="s">
        <v>39</v>
      </c>
      <c r="L34" s="2">
        <v>4.9000000000000004</v>
      </c>
      <c r="M34" s="2">
        <v>5</v>
      </c>
      <c r="N34" s="2">
        <v>1</v>
      </c>
      <c r="O34" s="2">
        <v>0</v>
      </c>
      <c r="P34" s="2">
        <v>0</v>
      </c>
      <c r="Q34" s="2">
        <v>0</v>
      </c>
      <c r="R34" s="2"/>
      <c r="S34" s="2"/>
      <c r="T34" s="2"/>
      <c r="U34" s="2"/>
      <c r="V34" s="2"/>
      <c r="W34" s="2">
        <v>139</v>
      </c>
      <c r="X34" s="2">
        <v>17</v>
      </c>
      <c r="Y34" s="2">
        <v>32</v>
      </c>
      <c r="Z34" s="2">
        <v>4.3499999999999996</v>
      </c>
      <c r="AA34" s="2">
        <v>1.35</v>
      </c>
      <c r="AB34" s="2">
        <v>77</v>
      </c>
      <c r="AC34" s="2">
        <v>24</v>
      </c>
      <c r="AD34" s="2">
        <v>21</v>
      </c>
      <c r="AE34" s="2">
        <v>2.99</v>
      </c>
      <c r="AF34" s="2">
        <v>1.2</v>
      </c>
      <c r="AG34" s="5">
        <v>0</v>
      </c>
      <c r="AH34" s="2" t="s">
        <v>40</v>
      </c>
      <c r="AI34" s="2" t="s">
        <v>140</v>
      </c>
    </row>
    <row r="35" spans="1:35" ht="16">
      <c r="A35" s="1">
        <v>2014</v>
      </c>
      <c r="B35" s="2">
        <v>1</v>
      </c>
      <c r="C35" s="2">
        <v>34</v>
      </c>
      <c r="D35" s="2" t="s">
        <v>3</v>
      </c>
      <c r="E35" s="2">
        <v>34</v>
      </c>
      <c r="F35" s="2" t="s">
        <v>124</v>
      </c>
      <c r="G35" s="2" t="s">
        <v>43</v>
      </c>
      <c r="H35" s="4">
        <v>2000000</v>
      </c>
      <c r="I35" s="2" t="s">
        <v>141</v>
      </c>
      <c r="J35" s="2" t="s">
        <v>45</v>
      </c>
      <c r="K35" s="2" t="s">
        <v>39</v>
      </c>
      <c r="L35" s="2">
        <v>12.3</v>
      </c>
      <c r="M35" s="2">
        <v>84</v>
      </c>
      <c r="N35" s="2">
        <v>123</v>
      </c>
      <c r="O35" s="2">
        <v>1</v>
      </c>
      <c r="P35" s="2">
        <v>0.155</v>
      </c>
      <c r="Q35" s="2">
        <v>0.41199999999999998</v>
      </c>
      <c r="R35" s="2"/>
      <c r="S35" s="2"/>
      <c r="T35" s="2"/>
      <c r="U35" s="2"/>
      <c r="V35" s="2"/>
      <c r="W35" s="2">
        <v>146</v>
      </c>
      <c r="X35" s="2">
        <v>47</v>
      </c>
      <c r="Y35" s="2">
        <v>39</v>
      </c>
      <c r="Z35" s="2">
        <v>3.69</v>
      </c>
      <c r="AA35" s="2">
        <v>1.19</v>
      </c>
      <c r="AB35" s="2">
        <v>90</v>
      </c>
      <c r="AC35" s="2">
        <v>34</v>
      </c>
      <c r="AD35" s="2">
        <v>20</v>
      </c>
      <c r="AE35" s="2">
        <v>2.79</v>
      </c>
      <c r="AF35" s="2">
        <v>1.1599999999999999</v>
      </c>
      <c r="AG35" s="5">
        <v>1</v>
      </c>
      <c r="AH35" s="2" t="s">
        <v>40</v>
      </c>
      <c r="AI35" s="2" t="s">
        <v>142</v>
      </c>
    </row>
    <row r="36" spans="1:35" ht="16">
      <c r="A36" s="1">
        <v>2014</v>
      </c>
      <c r="B36" s="2">
        <v>1</v>
      </c>
      <c r="C36" s="2">
        <v>35</v>
      </c>
      <c r="D36" s="2" t="s">
        <v>3</v>
      </c>
      <c r="E36" s="2">
        <v>35</v>
      </c>
      <c r="F36" s="2" t="s">
        <v>67</v>
      </c>
      <c r="G36" s="2" t="s">
        <v>43</v>
      </c>
      <c r="H36" s="4">
        <v>2000000</v>
      </c>
      <c r="I36" s="2" t="s">
        <v>143</v>
      </c>
      <c r="J36" s="2" t="s">
        <v>144</v>
      </c>
      <c r="K36" s="2" t="s">
        <v>54</v>
      </c>
      <c r="L36" s="2">
        <v>0.3</v>
      </c>
      <c r="M36" s="2">
        <v>28</v>
      </c>
      <c r="N36" s="2">
        <v>42</v>
      </c>
      <c r="O36" s="2">
        <v>1</v>
      </c>
      <c r="P36" s="2">
        <v>0.31</v>
      </c>
      <c r="Q36" s="2">
        <v>0.81200000000000006</v>
      </c>
      <c r="R36" s="2">
        <v>874</v>
      </c>
      <c r="S36" s="2">
        <v>3290</v>
      </c>
      <c r="T36" s="2">
        <v>60</v>
      </c>
      <c r="U36" s="2">
        <v>0.27200000000000002</v>
      </c>
      <c r="V36" s="2">
        <v>0.755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/>
      <c r="AC36" s="2"/>
      <c r="AD36" s="2"/>
      <c r="AE36" s="2"/>
      <c r="AF36" s="2"/>
      <c r="AG36" s="5">
        <v>0</v>
      </c>
      <c r="AH36" s="2" t="s">
        <v>40</v>
      </c>
      <c r="AI36" s="2" t="s">
        <v>145</v>
      </c>
    </row>
    <row r="37" spans="1:35" ht="16">
      <c r="A37" s="1">
        <v>2014</v>
      </c>
      <c r="B37" s="2">
        <v>1</v>
      </c>
      <c r="C37" s="2">
        <v>36</v>
      </c>
      <c r="D37" s="2" t="s">
        <v>3</v>
      </c>
      <c r="E37" s="2">
        <v>36</v>
      </c>
      <c r="F37" s="2" t="s">
        <v>42</v>
      </c>
      <c r="G37" s="2" t="s">
        <v>43</v>
      </c>
      <c r="H37" s="4">
        <v>1170000</v>
      </c>
      <c r="I37" s="2" t="s">
        <v>146</v>
      </c>
      <c r="J37" s="2" t="s">
        <v>53</v>
      </c>
      <c r="K37" s="2" t="s">
        <v>54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/>
      <c r="S37" s="2"/>
      <c r="T37" s="2"/>
      <c r="U37" s="2"/>
      <c r="V37" s="2"/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/>
      <c r="AC37" s="2"/>
      <c r="AD37" s="2"/>
      <c r="AE37" s="2"/>
      <c r="AF37" s="2"/>
      <c r="AG37" s="5">
        <v>0</v>
      </c>
      <c r="AH37" s="2" t="s">
        <v>40</v>
      </c>
      <c r="AI37" s="2" t="s">
        <v>147</v>
      </c>
    </row>
    <row r="38" spans="1:35" ht="16">
      <c r="A38" s="1">
        <v>2014</v>
      </c>
      <c r="B38" s="2">
        <v>1</v>
      </c>
      <c r="C38" s="2">
        <v>37</v>
      </c>
      <c r="D38" s="2" t="s">
        <v>3</v>
      </c>
      <c r="E38" s="2">
        <v>37</v>
      </c>
      <c r="F38" s="2" t="s">
        <v>35</v>
      </c>
      <c r="G38" s="2" t="s">
        <v>43</v>
      </c>
      <c r="H38" s="4">
        <v>1534100</v>
      </c>
      <c r="I38" s="2" t="s">
        <v>148</v>
      </c>
      <c r="J38" s="2" t="s">
        <v>62</v>
      </c>
      <c r="K38" s="2" t="s">
        <v>54</v>
      </c>
      <c r="L38" s="2">
        <v>0.2</v>
      </c>
      <c r="M38" s="2">
        <v>172</v>
      </c>
      <c r="N38" s="2">
        <v>410</v>
      </c>
      <c r="O38" s="2">
        <v>17</v>
      </c>
      <c r="P38" s="2">
        <v>0.19500000000000001</v>
      </c>
      <c r="Q38" s="2">
        <v>0.66300000000000003</v>
      </c>
      <c r="R38" s="2">
        <v>557</v>
      </c>
      <c r="S38" s="2">
        <v>2107</v>
      </c>
      <c r="T38" s="2">
        <v>94</v>
      </c>
      <c r="U38" s="2">
        <v>0.27100000000000002</v>
      </c>
      <c r="V38" s="2">
        <v>0.83699999999999997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/>
      <c r="AC38" s="2"/>
      <c r="AD38" s="2"/>
      <c r="AE38" s="2"/>
      <c r="AF38" s="2"/>
      <c r="AG38" s="5">
        <v>0</v>
      </c>
      <c r="AH38" s="2" t="s">
        <v>49</v>
      </c>
      <c r="AI38" s="2" t="s">
        <v>100</v>
      </c>
    </row>
    <row r="39" spans="1:35" ht="16">
      <c r="A39" s="1">
        <v>2014</v>
      </c>
      <c r="B39" s="2">
        <v>1</v>
      </c>
      <c r="C39" s="2">
        <v>38</v>
      </c>
      <c r="D39" s="2" t="s">
        <v>3</v>
      </c>
      <c r="E39" s="2">
        <v>38</v>
      </c>
      <c r="F39" s="2" t="s">
        <v>105</v>
      </c>
      <c r="G39" s="2" t="s">
        <v>43</v>
      </c>
      <c r="H39" s="4">
        <v>1250000</v>
      </c>
      <c r="I39" s="2" t="s">
        <v>149</v>
      </c>
      <c r="J39" s="2" t="s">
        <v>62</v>
      </c>
      <c r="K39" s="2" t="s">
        <v>54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520</v>
      </c>
      <c r="S39" s="2">
        <v>1706</v>
      </c>
      <c r="T39" s="2">
        <v>41</v>
      </c>
      <c r="U39" s="2">
        <v>0.23499999999999999</v>
      </c>
      <c r="V39" s="2">
        <v>0.72699999999999998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/>
      <c r="AC39" s="2"/>
      <c r="AD39" s="2"/>
      <c r="AE39" s="2"/>
      <c r="AF39" s="2"/>
      <c r="AG39" s="5">
        <v>0</v>
      </c>
      <c r="AH39" s="2" t="s">
        <v>49</v>
      </c>
      <c r="AI39" s="2" t="s">
        <v>100</v>
      </c>
    </row>
    <row r="40" spans="1:35" ht="16">
      <c r="A40" s="1">
        <v>2014</v>
      </c>
      <c r="B40" s="2">
        <v>1</v>
      </c>
      <c r="C40" s="2">
        <v>39</v>
      </c>
      <c r="D40" s="2" t="s">
        <v>3</v>
      </c>
      <c r="E40" s="2">
        <v>39</v>
      </c>
      <c r="F40" s="2" t="s">
        <v>114</v>
      </c>
      <c r="G40" s="2" t="s">
        <v>43</v>
      </c>
      <c r="H40" s="4">
        <v>1250000</v>
      </c>
      <c r="I40" s="2" t="s">
        <v>150</v>
      </c>
      <c r="J40" s="2" t="s">
        <v>62</v>
      </c>
      <c r="K40" s="2" t="s">
        <v>54</v>
      </c>
      <c r="L40" s="2">
        <v>3.8</v>
      </c>
      <c r="M40" s="2">
        <v>390</v>
      </c>
      <c r="N40" s="2">
        <v>1266</v>
      </c>
      <c r="O40" s="2">
        <v>33</v>
      </c>
      <c r="P40" s="2">
        <v>0.247</v>
      </c>
      <c r="Q40" s="2">
        <v>0.73899999999999999</v>
      </c>
      <c r="R40" s="2">
        <v>521</v>
      </c>
      <c r="S40" s="2">
        <v>1802</v>
      </c>
      <c r="T40" s="2">
        <v>52</v>
      </c>
      <c r="U40" s="2">
        <v>0.27400000000000002</v>
      </c>
      <c r="V40" s="2">
        <v>0.81299999999999994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/>
      <c r="AC40" s="2"/>
      <c r="AD40" s="2"/>
      <c r="AE40" s="2"/>
      <c r="AF40" s="2"/>
      <c r="AG40" s="5">
        <v>0</v>
      </c>
      <c r="AH40" s="2" t="s">
        <v>49</v>
      </c>
      <c r="AI40" s="2" t="s">
        <v>151</v>
      </c>
    </row>
    <row r="41" spans="1:35" ht="30">
      <c r="A41" s="1">
        <v>2014</v>
      </c>
      <c r="B41" s="2">
        <v>1</v>
      </c>
      <c r="C41" s="2">
        <v>40</v>
      </c>
      <c r="D41" s="2" t="s">
        <v>3</v>
      </c>
      <c r="E41" s="2">
        <v>40</v>
      </c>
      <c r="F41" s="2" t="s">
        <v>92</v>
      </c>
      <c r="G41" s="2" t="s">
        <v>43</v>
      </c>
      <c r="H41" s="4">
        <v>1350000</v>
      </c>
      <c r="I41" s="2" t="s">
        <v>152</v>
      </c>
      <c r="J41" s="2" t="s">
        <v>53</v>
      </c>
      <c r="K41" s="2" t="s">
        <v>54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471</v>
      </c>
      <c r="S41" s="2">
        <v>1590</v>
      </c>
      <c r="T41" s="2">
        <v>73</v>
      </c>
      <c r="U41" s="2">
        <v>0.214</v>
      </c>
      <c r="V41" s="2">
        <v>0.76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/>
      <c r="AC41" s="2"/>
      <c r="AD41" s="2"/>
      <c r="AE41" s="2"/>
      <c r="AF41" s="2"/>
      <c r="AG41" s="5">
        <v>0</v>
      </c>
      <c r="AH41" s="2" t="s">
        <v>40</v>
      </c>
      <c r="AI41" s="2" t="s">
        <v>153</v>
      </c>
    </row>
    <row r="42" spans="1:35" ht="16">
      <c r="A42" s="1">
        <v>2014</v>
      </c>
      <c r="B42" s="2">
        <v>1</v>
      </c>
      <c r="C42" s="2">
        <v>41</v>
      </c>
      <c r="D42" s="2" t="s">
        <v>3</v>
      </c>
      <c r="E42" s="2">
        <v>41</v>
      </c>
      <c r="F42" s="2" t="s">
        <v>78</v>
      </c>
      <c r="G42" s="2" t="s">
        <v>43</v>
      </c>
      <c r="H42" s="4">
        <v>1830000</v>
      </c>
      <c r="I42" s="2" t="s">
        <v>154</v>
      </c>
      <c r="J42" s="2" t="s">
        <v>58</v>
      </c>
      <c r="K42" s="2" t="s">
        <v>54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/>
      <c r="S42" s="2"/>
      <c r="T42" s="2"/>
      <c r="U42" s="2"/>
      <c r="V42" s="2"/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/>
      <c r="AC42" s="2"/>
      <c r="AD42" s="2"/>
      <c r="AE42" s="2"/>
      <c r="AF42" s="2"/>
      <c r="AG42" s="5">
        <v>0</v>
      </c>
      <c r="AH42" s="2" t="s">
        <v>40</v>
      </c>
      <c r="AI42" s="2" t="s">
        <v>155</v>
      </c>
    </row>
    <row r="43" spans="1:35" ht="16">
      <c r="A43" s="1">
        <v>2019</v>
      </c>
      <c r="B43" s="2">
        <v>1</v>
      </c>
      <c r="C43" s="2">
        <v>1</v>
      </c>
      <c r="D43" s="2" t="s">
        <v>3</v>
      </c>
      <c r="E43" s="2">
        <v>1</v>
      </c>
      <c r="F43" s="2" t="s">
        <v>156</v>
      </c>
      <c r="G43" s="2" t="s">
        <v>43</v>
      </c>
      <c r="H43" s="4">
        <v>8100000</v>
      </c>
      <c r="I43" s="2" t="s">
        <v>157</v>
      </c>
      <c r="J43" s="2" t="s">
        <v>53</v>
      </c>
      <c r="K43" s="2" t="s">
        <v>54</v>
      </c>
      <c r="L43" s="2">
        <v>12.5</v>
      </c>
      <c r="M43" s="2">
        <v>368</v>
      </c>
      <c r="N43" s="2">
        <v>1389</v>
      </c>
      <c r="O43" s="2">
        <v>50</v>
      </c>
      <c r="P43" s="2">
        <v>0.26600000000000001</v>
      </c>
      <c r="Q43" s="2">
        <v>0.79100000000000004</v>
      </c>
      <c r="R43" s="2">
        <v>180</v>
      </c>
      <c r="S43" s="2">
        <v>651</v>
      </c>
      <c r="T43" s="2">
        <v>30</v>
      </c>
      <c r="U43" s="2">
        <v>0.28100000000000003</v>
      </c>
      <c r="V43" s="2">
        <v>0.877</v>
      </c>
      <c r="W43" s="2"/>
      <c r="AG43" s="5">
        <v>2</v>
      </c>
    </row>
    <row r="44" spans="1:35" ht="16">
      <c r="A44" s="1">
        <v>2019</v>
      </c>
      <c r="B44" s="2">
        <v>1</v>
      </c>
      <c r="C44" s="2">
        <v>2</v>
      </c>
      <c r="D44" s="2" t="s">
        <v>3</v>
      </c>
      <c r="E44" s="2">
        <v>2</v>
      </c>
      <c r="F44" s="2" t="s">
        <v>92</v>
      </c>
      <c r="G44" s="2" t="s">
        <v>43</v>
      </c>
      <c r="H44" s="4">
        <v>7787400</v>
      </c>
      <c r="I44" s="2" t="s">
        <v>158</v>
      </c>
      <c r="J44" s="2" t="s">
        <v>58</v>
      </c>
      <c r="K44" s="2" t="s">
        <v>54</v>
      </c>
      <c r="L44" s="2">
        <v>12.4</v>
      </c>
      <c r="M44" s="2">
        <v>418</v>
      </c>
      <c r="N44" s="2">
        <v>1669</v>
      </c>
      <c r="O44" s="2">
        <v>70</v>
      </c>
      <c r="P44" s="2">
        <v>0.28799999999999998</v>
      </c>
      <c r="Q44" s="2">
        <v>0.83099999999999996</v>
      </c>
      <c r="R44" s="34">
        <v>160</v>
      </c>
      <c r="S44" s="2">
        <v>661</v>
      </c>
      <c r="T44" s="34">
        <v>34</v>
      </c>
      <c r="U44" s="34">
        <v>0.28299999999999997</v>
      </c>
      <c r="V44" s="35">
        <v>0.87</v>
      </c>
      <c r="W44" s="2"/>
      <c r="AG44" s="5">
        <v>1</v>
      </c>
    </row>
    <row r="45" spans="1:35" ht="16">
      <c r="A45" s="1">
        <v>2019</v>
      </c>
      <c r="B45" s="2">
        <v>1</v>
      </c>
      <c r="C45" s="2">
        <v>3</v>
      </c>
      <c r="D45" s="2" t="s">
        <v>3</v>
      </c>
      <c r="E45" s="2">
        <v>3</v>
      </c>
      <c r="F45" s="2" t="s">
        <v>47</v>
      </c>
      <c r="G45" s="2" t="s">
        <v>43</v>
      </c>
      <c r="H45" s="4">
        <v>7221200</v>
      </c>
      <c r="I45" s="2" t="s">
        <v>159</v>
      </c>
      <c r="J45" s="2" t="s">
        <v>103</v>
      </c>
      <c r="K45" s="2" t="s">
        <v>54</v>
      </c>
      <c r="L45" s="2">
        <v>0.6</v>
      </c>
      <c r="M45" s="2">
        <v>514</v>
      </c>
      <c r="N45" s="2">
        <v>1877</v>
      </c>
      <c r="O45" s="2">
        <v>66</v>
      </c>
      <c r="P45" s="2">
        <v>0.251</v>
      </c>
      <c r="Q45" s="2">
        <v>0.72199999999999998</v>
      </c>
      <c r="R45" s="2">
        <v>57</v>
      </c>
      <c r="S45" s="34">
        <v>212</v>
      </c>
      <c r="T45" s="34">
        <v>8</v>
      </c>
      <c r="U45" s="34">
        <v>0.27800000000000002</v>
      </c>
      <c r="V45" s="34">
        <v>0.85799999999999998</v>
      </c>
      <c r="W45" s="34"/>
      <c r="AG45" s="5">
        <v>0</v>
      </c>
    </row>
    <row r="46" spans="1:35" ht="16">
      <c r="A46" s="1">
        <v>2019</v>
      </c>
      <c r="B46" s="2">
        <v>1</v>
      </c>
      <c r="C46" s="2">
        <v>4</v>
      </c>
      <c r="D46" s="2" t="s">
        <v>3</v>
      </c>
      <c r="E46" s="2">
        <v>4</v>
      </c>
      <c r="F46" s="2" t="s">
        <v>42</v>
      </c>
      <c r="G46" s="2" t="s">
        <v>43</v>
      </c>
      <c r="H46" s="4">
        <v>6670000</v>
      </c>
      <c r="I46" s="2" t="s">
        <v>160</v>
      </c>
      <c r="J46" s="2" t="s">
        <v>62</v>
      </c>
      <c r="K46" s="2" t="s">
        <v>54</v>
      </c>
      <c r="L46" s="2">
        <v>1.6</v>
      </c>
      <c r="M46" s="2">
        <v>255</v>
      </c>
      <c r="N46" s="2">
        <v>846</v>
      </c>
      <c r="O46" s="2">
        <v>28</v>
      </c>
      <c r="P46" s="2">
        <v>0.20799999999999999</v>
      </c>
      <c r="Q46" s="2">
        <v>0.68700000000000006</v>
      </c>
      <c r="R46" s="24">
        <v>261</v>
      </c>
      <c r="S46" s="34">
        <v>947</v>
      </c>
      <c r="T46" s="34">
        <v>43</v>
      </c>
      <c r="U46" s="34">
        <v>0.23799999999999999</v>
      </c>
      <c r="V46" s="34">
        <v>0.78700000000000003</v>
      </c>
      <c r="W46" s="34"/>
      <c r="AG46" s="5">
        <v>0</v>
      </c>
    </row>
    <row r="47" spans="1:35" ht="16">
      <c r="A47" s="1">
        <v>2019</v>
      </c>
      <c r="B47" s="2">
        <v>1</v>
      </c>
      <c r="C47" s="2">
        <v>5</v>
      </c>
      <c r="D47" s="2" t="s">
        <v>3</v>
      </c>
      <c r="E47" s="2">
        <v>5</v>
      </c>
      <c r="F47" s="2" t="s">
        <v>111</v>
      </c>
      <c r="G47" s="2" t="s">
        <v>43</v>
      </c>
      <c r="H47" s="4">
        <v>6180700</v>
      </c>
      <c r="I47" s="2" t="s">
        <v>161</v>
      </c>
      <c r="J47" s="2" t="s">
        <v>62</v>
      </c>
      <c r="K47" s="2" t="s">
        <v>54</v>
      </c>
      <c r="L47" s="2">
        <v>7</v>
      </c>
      <c r="M47" s="2">
        <v>293</v>
      </c>
      <c r="N47" s="2">
        <v>1125</v>
      </c>
      <c r="O47" s="2">
        <v>33</v>
      </c>
      <c r="P47" s="2">
        <v>0.26800000000000002</v>
      </c>
      <c r="Q47" s="2">
        <v>0.77300000000000002</v>
      </c>
      <c r="R47" s="24">
        <v>201</v>
      </c>
      <c r="S47" s="34">
        <v>786</v>
      </c>
      <c r="T47" s="34">
        <v>31</v>
      </c>
      <c r="U47" s="34">
        <v>0.29399999999999998</v>
      </c>
      <c r="V47" s="34">
        <v>0.86299999999999999</v>
      </c>
      <c r="W47" s="34"/>
      <c r="AG47" s="5">
        <v>1</v>
      </c>
    </row>
    <row r="48" spans="1:35" ht="16">
      <c r="A48" s="1">
        <v>2019</v>
      </c>
      <c r="B48" s="2">
        <v>1</v>
      </c>
      <c r="C48" s="2">
        <v>6</v>
      </c>
      <c r="D48" s="2" t="s">
        <v>3</v>
      </c>
      <c r="E48" s="2">
        <v>6</v>
      </c>
      <c r="F48" s="2" t="s">
        <v>81</v>
      </c>
      <c r="G48" s="2" t="s">
        <v>43</v>
      </c>
      <c r="H48" s="4">
        <v>5200000</v>
      </c>
      <c r="I48" s="2" t="s">
        <v>162</v>
      </c>
      <c r="J48" s="2" t="s">
        <v>58</v>
      </c>
      <c r="K48" s="2" t="s">
        <v>54</v>
      </c>
      <c r="L48" s="2">
        <v>7</v>
      </c>
      <c r="M48" s="2">
        <v>342</v>
      </c>
      <c r="N48" s="2">
        <v>1249</v>
      </c>
      <c r="O48" s="2">
        <v>35</v>
      </c>
      <c r="P48" s="2">
        <v>0.249</v>
      </c>
      <c r="Q48" s="2">
        <v>0.71099999999999997</v>
      </c>
      <c r="R48" s="24">
        <v>114</v>
      </c>
      <c r="S48" s="34">
        <v>483</v>
      </c>
      <c r="T48" s="34">
        <v>12</v>
      </c>
      <c r="U48" s="34">
        <v>0.33100000000000002</v>
      </c>
      <c r="V48" s="34">
        <v>0.89600000000000002</v>
      </c>
      <c r="W48" s="34"/>
      <c r="AG48" s="5">
        <v>1</v>
      </c>
    </row>
    <row r="49" spans="1:33" ht="16">
      <c r="A49" s="1">
        <v>2019</v>
      </c>
      <c r="B49" s="2">
        <v>1</v>
      </c>
      <c r="C49" s="2">
        <v>7</v>
      </c>
      <c r="D49" s="2" t="s">
        <v>3</v>
      </c>
      <c r="E49" s="2">
        <v>7</v>
      </c>
      <c r="F49" s="2" t="s">
        <v>98</v>
      </c>
      <c r="G49" s="2" t="s">
        <v>43</v>
      </c>
      <c r="H49" s="4">
        <v>5432400</v>
      </c>
      <c r="I49" s="2" t="s">
        <v>163</v>
      </c>
      <c r="J49" s="2" t="s">
        <v>38</v>
      </c>
      <c r="K49" s="2" t="s">
        <v>39</v>
      </c>
      <c r="L49" s="2">
        <v>4.2</v>
      </c>
      <c r="M49" s="2"/>
      <c r="N49" s="2"/>
      <c r="O49" s="3"/>
      <c r="P49" s="3"/>
      <c r="Q49" s="2"/>
      <c r="R49" s="2"/>
      <c r="S49" s="2"/>
      <c r="T49" s="2"/>
      <c r="U49" s="2"/>
      <c r="V49" s="2"/>
      <c r="W49" s="2">
        <v>43</v>
      </c>
      <c r="X49" s="32">
        <v>14</v>
      </c>
      <c r="Y49" s="2">
        <v>12</v>
      </c>
      <c r="Z49" s="2">
        <v>4.18</v>
      </c>
      <c r="AA49" s="2">
        <v>1.28</v>
      </c>
      <c r="AB49" s="5">
        <v>30</v>
      </c>
      <c r="AC49" s="5">
        <v>2</v>
      </c>
      <c r="AD49" s="5">
        <v>5</v>
      </c>
      <c r="AE49" s="17">
        <v>2.7</v>
      </c>
      <c r="AF49" s="5">
        <v>1.0900000000000001</v>
      </c>
      <c r="AG49" s="5">
        <v>0</v>
      </c>
    </row>
    <row r="50" spans="1:33" ht="16">
      <c r="A50" s="1">
        <v>2019</v>
      </c>
      <c r="B50" s="2">
        <v>1</v>
      </c>
      <c r="C50" s="2">
        <v>8</v>
      </c>
      <c r="D50" s="2" t="s">
        <v>3</v>
      </c>
      <c r="E50" s="2">
        <v>8</v>
      </c>
      <c r="F50" s="2" t="s">
        <v>131</v>
      </c>
      <c r="G50" s="2" t="s">
        <v>43</v>
      </c>
      <c r="H50" s="4">
        <v>4400000</v>
      </c>
      <c r="I50" s="2" t="s">
        <v>164</v>
      </c>
      <c r="J50" s="2" t="s">
        <v>119</v>
      </c>
      <c r="K50" s="2" t="s">
        <v>54</v>
      </c>
      <c r="L50" s="2">
        <v>3</v>
      </c>
      <c r="M50" s="2">
        <v>154</v>
      </c>
      <c r="N50" s="2">
        <v>599</v>
      </c>
      <c r="O50" s="2">
        <v>30</v>
      </c>
      <c r="P50" s="2">
        <v>0.25900000000000001</v>
      </c>
      <c r="Q50" s="2">
        <v>0.77400000000000002</v>
      </c>
      <c r="R50" s="24">
        <v>160</v>
      </c>
      <c r="S50" s="34">
        <v>629</v>
      </c>
      <c r="T50" s="34">
        <v>30</v>
      </c>
      <c r="U50" s="35">
        <v>0.31</v>
      </c>
      <c r="V50" s="34">
        <v>0.90800000000000003</v>
      </c>
      <c r="Y50" s="2"/>
      <c r="Z50" s="2"/>
      <c r="AA50" s="2"/>
      <c r="AG50" s="5">
        <v>1</v>
      </c>
    </row>
    <row r="51" spans="1:33" ht="16">
      <c r="A51" s="1">
        <v>2019</v>
      </c>
      <c r="B51" s="2">
        <v>1</v>
      </c>
      <c r="C51" s="2">
        <v>9</v>
      </c>
      <c r="D51" s="2" t="s">
        <v>3</v>
      </c>
      <c r="E51" s="2">
        <v>9</v>
      </c>
      <c r="F51" s="2" t="s">
        <v>136</v>
      </c>
      <c r="G51" s="2" t="s">
        <v>43</v>
      </c>
      <c r="H51" s="4">
        <v>3997500</v>
      </c>
      <c r="I51" s="2" t="s">
        <v>165</v>
      </c>
      <c r="J51" s="2" t="s">
        <v>53</v>
      </c>
      <c r="K51" s="2" t="s">
        <v>54</v>
      </c>
      <c r="L51" s="2">
        <v>3.3</v>
      </c>
      <c r="M51" s="2">
        <v>267</v>
      </c>
      <c r="N51" s="2">
        <v>912</v>
      </c>
      <c r="O51" s="2">
        <v>48</v>
      </c>
      <c r="P51" s="2">
        <v>0.21099999999999999</v>
      </c>
      <c r="Q51" s="2">
        <v>0.69699999999999995</v>
      </c>
      <c r="R51" s="24">
        <v>243</v>
      </c>
      <c r="S51" s="34">
        <v>909</v>
      </c>
      <c r="T51" s="34">
        <v>43</v>
      </c>
      <c r="U51" s="35">
        <v>0.26600000000000001</v>
      </c>
      <c r="V51" s="34">
        <v>0.80600000000000005</v>
      </c>
      <c r="Y51" s="2"/>
      <c r="Z51" s="2"/>
      <c r="AA51" s="2"/>
      <c r="AG51" s="5">
        <v>0</v>
      </c>
    </row>
    <row r="52" spans="1:33" ht="16">
      <c r="A52" s="1">
        <v>2019</v>
      </c>
      <c r="B52" s="2">
        <v>1</v>
      </c>
      <c r="C52" s="2">
        <v>10</v>
      </c>
      <c r="D52" s="2" t="s">
        <v>3</v>
      </c>
      <c r="E52" s="2">
        <v>10</v>
      </c>
      <c r="F52" s="2" t="s">
        <v>83</v>
      </c>
      <c r="G52" s="2" t="s">
        <v>43</v>
      </c>
      <c r="H52" s="4">
        <v>4097500</v>
      </c>
      <c r="I52" s="2" t="s">
        <v>166</v>
      </c>
      <c r="J52" s="2" t="s">
        <v>62</v>
      </c>
      <c r="K52" s="2" t="s">
        <v>54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4">
        <v>217</v>
      </c>
      <c r="S52" s="34">
        <v>776</v>
      </c>
      <c r="T52" s="34">
        <v>26</v>
      </c>
      <c r="U52" s="35">
        <v>0.22700000000000001</v>
      </c>
      <c r="V52" s="34">
        <v>0.71899999999999997</v>
      </c>
      <c r="Y52" s="2"/>
      <c r="Z52" s="2"/>
      <c r="AA52" s="2"/>
      <c r="AG52" s="5">
        <v>0</v>
      </c>
    </row>
    <row r="53" spans="1:33" ht="16">
      <c r="A53" s="1">
        <v>2019</v>
      </c>
      <c r="B53" s="2">
        <v>1</v>
      </c>
      <c r="C53" s="2">
        <v>11</v>
      </c>
      <c r="D53" s="2" t="s">
        <v>3</v>
      </c>
      <c r="E53" s="2">
        <v>11</v>
      </c>
      <c r="F53" s="2" t="s">
        <v>70</v>
      </c>
      <c r="G53" s="2" t="s">
        <v>43</v>
      </c>
      <c r="H53" s="4">
        <v>4547500</v>
      </c>
      <c r="I53" s="2" t="s">
        <v>167</v>
      </c>
      <c r="J53" s="2" t="s">
        <v>45</v>
      </c>
      <c r="K53" s="2" t="s">
        <v>39</v>
      </c>
      <c r="L53" s="2">
        <v>7.5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>
        <v>75</v>
      </c>
      <c r="X53" s="32">
        <v>29</v>
      </c>
      <c r="Y53" s="2">
        <v>20</v>
      </c>
      <c r="Z53" s="2">
        <v>3.34</v>
      </c>
      <c r="AA53" s="2">
        <v>1.1599999999999999</v>
      </c>
      <c r="AB53" s="5">
        <v>16</v>
      </c>
      <c r="AC53" s="5">
        <v>3</v>
      </c>
      <c r="AD53" s="5">
        <v>4</v>
      </c>
      <c r="AE53" s="5">
        <v>5.34</v>
      </c>
      <c r="AF53" s="5">
        <v>1.36</v>
      </c>
      <c r="AG53" s="5">
        <v>1</v>
      </c>
    </row>
    <row r="54" spans="1:33" ht="16">
      <c r="A54" s="1">
        <v>2019</v>
      </c>
      <c r="B54" s="2">
        <v>1</v>
      </c>
      <c r="C54" s="2">
        <v>12</v>
      </c>
      <c r="D54" s="2" t="s">
        <v>3</v>
      </c>
      <c r="E54" s="2">
        <v>12</v>
      </c>
      <c r="F54" s="2" t="s">
        <v>73</v>
      </c>
      <c r="G54" s="2" t="s">
        <v>43</v>
      </c>
      <c r="H54" s="4">
        <v>3900000</v>
      </c>
      <c r="I54" s="2" t="s">
        <v>168</v>
      </c>
      <c r="J54" s="2" t="s">
        <v>119</v>
      </c>
      <c r="K54" s="2" t="s">
        <v>54</v>
      </c>
      <c r="L54" s="2">
        <v>-0.7</v>
      </c>
      <c r="M54" s="2">
        <v>169</v>
      </c>
      <c r="N54" s="2">
        <v>544</v>
      </c>
      <c r="O54" s="2">
        <v>15</v>
      </c>
      <c r="P54" s="2">
        <v>0.215</v>
      </c>
      <c r="Q54" s="2">
        <v>0.60699999999999998</v>
      </c>
      <c r="R54" s="24">
        <v>309</v>
      </c>
      <c r="S54" s="34">
        <v>1159</v>
      </c>
      <c r="T54" s="34">
        <v>59</v>
      </c>
      <c r="U54" s="35">
        <v>0.28599999999999998</v>
      </c>
      <c r="V54" s="34">
        <v>0.89100000000000001</v>
      </c>
      <c r="Y54" s="2"/>
      <c r="Z54" s="2"/>
      <c r="AA54" s="2"/>
      <c r="AG54" s="5">
        <v>0</v>
      </c>
    </row>
    <row r="55" spans="1:33" ht="16">
      <c r="A55" s="1">
        <v>2019</v>
      </c>
      <c r="B55" s="2">
        <v>1</v>
      </c>
      <c r="C55" s="2">
        <v>13</v>
      </c>
      <c r="D55" s="2" t="s">
        <v>3</v>
      </c>
      <c r="E55" s="2">
        <v>13</v>
      </c>
      <c r="F55" s="2" t="s">
        <v>56</v>
      </c>
      <c r="G55" s="2" t="s">
        <v>43</v>
      </c>
      <c r="H55" s="4">
        <v>4050000</v>
      </c>
      <c r="I55" s="2" t="s">
        <v>169</v>
      </c>
      <c r="J55" s="2" t="s">
        <v>58</v>
      </c>
      <c r="K55" s="2" t="s">
        <v>54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4">
        <v>284</v>
      </c>
      <c r="S55" s="34">
        <v>1021</v>
      </c>
      <c r="T55" s="34">
        <v>23</v>
      </c>
      <c r="U55" s="35">
        <v>0.21199999999999999</v>
      </c>
      <c r="V55" s="34">
        <v>0.60199999999999998</v>
      </c>
      <c r="Y55" s="2"/>
      <c r="Z55" s="3"/>
      <c r="AA55" s="3"/>
      <c r="AG55" s="5">
        <v>0</v>
      </c>
    </row>
    <row r="56" spans="1:33" ht="16">
      <c r="A56" s="1">
        <v>2019</v>
      </c>
      <c r="B56" s="2">
        <v>1</v>
      </c>
      <c r="C56" s="2">
        <v>14</v>
      </c>
      <c r="D56" s="2" t="s">
        <v>3</v>
      </c>
      <c r="E56" s="2">
        <v>14</v>
      </c>
      <c r="F56" s="2" t="s">
        <v>64</v>
      </c>
      <c r="G56" s="2" t="s">
        <v>43</v>
      </c>
      <c r="H56" s="4">
        <v>3900000</v>
      </c>
      <c r="I56" s="2" t="s">
        <v>170</v>
      </c>
      <c r="J56" s="2" t="s">
        <v>58</v>
      </c>
      <c r="K56" s="2" t="s">
        <v>54</v>
      </c>
      <c r="L56" s="2">
        <v>7.8</v>
      </c>
      <c r="M56" s="2">
        <v>378</v>
      </c>
      <c r="N56" s="2">
        <v>1347</v>
      </c>
      <c r="O56" s="2">
        <v>32</v>
      </c>
      <c r="P56" s="2">
        <v>0.25800000000000001</v>
      </c>
      <c r="Q56" s="2">
        <v>0.70299999999999996</v>
      </c>
      <c r="R56" s="24">
        <v>169</v>
      </c>
      <c r="S56" s="34">
        <v>620</v>
      </c>
      <c r="T56" s="34">
        <v>24</v>
      </c>
      <c r="U56" s="35">
        <v>0.3</v>
      </c>
      <c r="V56" s="34">
        <v>0.88400000000000001</v>
      </c>
      <c r="Y56" s="2"/>
      <c r="Z56" s="2"/>
      <c r="AA56" s="2"/>
      <c r="AG56" s="5">
        <v>0</v>
      </c>
    </row>
    <row r="57" spans="1:33" ht="16">
      <c r="A57" s="1">
        <v>2019</v>
      </c>
      <c r="B57" s="2">
        <v>1</v>
      </c>
      <c r="C57" s="2">
        <v>15</v>
      </c>
      <c r="D57" s="2" t="s">
        <v>3</v>
      </c>
      <c r="E57" s="2">
        <v>15</v>
      </c>
      <c r="F57" s="2" t="s">
        <v>86</v>
      </c>
      <c r="G57" s="2" t="s">
        <v>43</v>
      </c>
      <c r="H57" s="4">
        <v>3397500</v>
      </c>
      <c r="I57" s="2" t="s">
        <v>171</v>
      </c>
      <c r="J57" s="2" t="s">
        <v>58</v>
      </c>
      <c r="K57" s="2" t="s">
        <v>54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4">
        <v>432</v>
      </c>
      <c r="S57" s="34">
        <v>1599</v>
      </c>
      <c r="T57" s="34">
        <v>56</v>
      </c>
      <c r="U57" s="35">
        <v>0.23300000000000001</v>
      </c>
      <c r="V57" s="34">
        <v>0.70399999999999996</v>
      </c>
      <c r="Y57" s="2"/>
      <c r="Z57" s="3"/>
      <c r="AA57" s="3"/>
      <c r="AG57" s="5">
        <v>0</v>
      </c>
    </row>
    <row r="58" spans="1:33" ht="16">
      <c r="A58" s="1">
        <v>2019</v>
      </c>
      <c r="B58" s="2">
        <v>1</v>
      </c>
      <c r="C58" s="2">
        <v>16</v>
      </c>
      <c r="D58" s="2" t="s">
        <v>3</v>
      </c>
      <c r="E58" s="2">
        <v>16</v>
      </c>
      <c r="F58" s="2" t="s">
        <v>89</v>
      </c>
      <c r="G58" s="2" t="s">
        <v>43</v>
      </c>
      <c r="H58" s="4">
        <v>3745500</v>
      </c>
      <c r="I58" s="2" t="s">
        <v>172</v>
      </c>
      <c r="J58" s="2" t="s">
        <v>173</v>
      </c>
      <c r="K58" s="2" t="s">
        <v>54</v>
      </c>
      <c r="L58" s="2">
        <v>7.2</v>
      </c>
      <c r="M58" s="2">
        <v>292</v>
      </c>
      <c r="N58" s="2">
        <v>1060</v>
      </c>
      <c r="O58" s="2">
        <v>37</v>
      </c>
      <c r="P58" s="2">
        <v>0.25700000000000001</v>
      </c>
      <c r="Q58" s="2">
        <v>0.78900000000000003</v>
      </c>
      <c r="R58" s="24">
        <v>142</v>
      </c>
      <c r="S58" s="34">
        <v>539</v>
      </c>
      <c r="T58" s="34">
        <v>28</v>
      </c>
      <c r="U58" s="35">
        <v>0.31</v>
      </c>
      <c r="V58" s="34">
        <v>1.014</v>
      </c>
      <c r="Y58" s="2"/>
      <c r="Z58" s="2"/>
      <c r="AA58" s="2"/>
      <c r="AG58" s="5">
        <v>1</v>
      </c>
    </row>
    <row r="59" spans="1:33" ht="16">
      <c r="A59" s="1">
        <v>2019</v>
      </c>
      <c r="B59" s="2">
        <v>1</v>
      </c>
      <c r="C59" s="2">
        <v>17</v>
      </c>
      <c r="D59" s="2" t="s">
        <v>3</v>
      </c>
      <c r="E59" s="2">
        <v>17</v>
      </c>
      <c r="F59" s="2" t="s">
        <v>95</v>
      </c>
      <c r="G59" s="2" t="s">
        <v>43</v>
      </c>
      <c r="H59" s="4">
        <v>3450000</v>
      </c>
      <c r="I59" s="2" t="s">
        <v>174</v>
      </c>
      <c r="J59" s="2" t="s">
        <v>45</v>
      </c>
      <c r="K59" s="2" t="s">
        <v>39</v>
      </c>
      <c r="L59" s="2">
        <v>-0.1</v>
      </c>
      <c r="M59" s="2"/>
      <c r="N59" s="2"/>
      <c r="O59" s="3"/>
      <c r="P59" s="3"/>
      <c r="Q59" s="2"/>
      <c r="R59" s="2"/>
      <c r="S59" s="2"/>
      <c r="T59" s="2"/>
      <c r="U59" s="2"/>
      <c r="V59" s="2"/>
      <c r="W59" s="2">
        <v>6</v>
      </c>
      <c r="X59" s="32">
        <v>1</v>
      </c>
      <c r="Y59" s="2">
        <v>1</v>
      </c>
      <c r="Z59" s="2">
        <v>6.31</v>
      </c>
      <c r="AA59" s="2">
        <v>1.44</v>
      </c>
      <c r="AB59" s="5">
        <v>85</v>
      </c>
      <c r="AC59" s="5">
        <v>23</v>
      </c>
      <c r="AD59" s="5">
        <v>22</v>
      </c>
      <c r="AE59" s="5">
        <v>5.08</v>
      </c>
      <c r="AF59" s="5">
        <v>1.4</v>
      </c>
      <c r="AG59" s="5">
        <v>0</v>
      </c>
    </row>
    <row r="60" spans="1:33" ht="16">
      <c r="A60" s="1">
        <v>2019</v>
      </c>
      <c r="B60" s="2">
        <v>1</v>
      </c>
      <c r="C60" s="2">
        <v>18</v>
      </c>
      <c r="D60" s="2" t="s">
        <v>3</v>
      </c>
      <c r="E60" s="2">
        <v>18</v>
      </c>
      <c r="F60" s="2" t="s">
        <v>114</v>
      </c>
      <c r="G60" s="2" t="s">
        <v>43</v>
      </c>
      <c r="H60" s="4">
        <v>3400000</v>
      </c>
      <c r="I60" s="2" t="s">
        <v>175</v>
      </c>
      <c r="J60" s="2" t="s">
        <v>45</v>
      </c>
      <c r="K60" s="2" t="s">
        <v>39</v>
      </c>
      <c r="L60" s="2">
        <v>-1.3</v>
      </c>
      <c r="M60" s="2"/>
      <c r="N60" s="2"/>
      <c r="O60" s="3"/>
      <c r="P60" s="3"/>
      <c r="Q60" s="2"/>
      <c r="R60" s="2"/>
      <c r="S60" s="2"/>
      <c r="T60" s="2"/>
      <c r="U60" s="2"/>
      <c r="V60" s="2"/>
      <c r="W60" s="2">
        <v>20</v>
      </c>
      <c r="X60" s="32">
        <v>5</v>
      </c>
      <c r="Y60" s="2">
        <v>9</v>
      </c>
      <c r="Z60" s="2">
        <v>6.46</v>
      </c>
      <c r="AA60" s="2">
        <v>1.58</v>
      </c>
      <c r="AB60" s="5">
        <v>78</v>
      </c>
      <c r="AC60" s="5">
        <v>25</v>
      </c>
      <c r="AD60" s="5">
        <v>16</v>
      </c>
      <c r="AE60" s="5">
        <v>3.59</v>
      </c>
      <c r="AF60" s="5">
        <v>1.26</v>
      </c>
      <c r="AG60" s="5">
        <v>0</v>
      </c>
    </row>
    <row r="61" spans="1:33" ht="16">
      <c r="A61" s="1">
        <v>2019</v>
      </c>
      <c r="B61" s="2">
        <v>1</v>
      </c>
      <c r="C61" s="2">
        <v>19</v>
      </c>
      <c r="D61" s="2" t="s">
        <v>3</v>
      </c>
      <c r="E61" s="2">
        <v>19</v>
      </c>
      <c r="F61" s="2" t="s">
        <v>124</v>
      </c>
      <c r="G61" s="2" t="s">
        <v>43</v>
      </c>
      <c r="H61" s="4">
        <v>3000000</v>
      </c>
      <c r="I61" s="2" t="s">
        <v>176</v>
      </c>
      <c r="J61" s="2" t="s">
        <v>45</v>
      </c>
      <c r="K61" s="2" t="s">
        <v>39</v>
      </c>
      <c r="L61" s="2">
        <v>0.6</v>
      </c>
      <c r="M61" s="2"/>
      <c r="N61" s="2"/>
      <c r="O61" s="3"/>
      <c r="P61" s="3"/>
      <c r="Q61" s="2"/>
      <c r="R61" s="2"/>
      <c r="S61" s="2"/>
      <c r="T61" s="2"/>
      <c r="U61" s="2"/>
      <c r="V61" s="2"/>
      <c r="W61" s="2">
        <v>52</v>
      </c>
      <c r="X61" s="24">
        <v>6</v>
      </c>
      <c r="Y61" s="2">
        <v>10</v>
      </c>
      <c r="Z61" s="2">
        <v>4.5</v>
      </c>
      <c r="AA61" s="2">
        <v>1.36</v>
      </c>
      <c r="AB61" s="5">
        <v>78</v>
      </c>
      <c r="AC61" s="5">
        <v>7</v>
      </c>
      <c r="AD61" s="5">
        <v>19</v>
      </c>
      <c r="AE61" s="5">
        <v>5.94</v>
      </c>
      <c r="AF61" s="5">
        <v>1.67</v>
      </c>
      <c r="AG61" s="5">
        <v>0</v>
      </c>
    </row>
    <row r="62" spans="1:33" ht="22">
      <c r="A62" s="1">
        <v>2019</v>
      </c>
      <c r="B62" s="2">
        <v>1</v>
      </c>
      <c r="C62" s="2">
        <v>20</v>
      </c>
      <c r="D62" s="2" t="s">
        <v>3</v>
      </c>
      <c r="E62" s="2">
        <v>20</v>
      </c>
      <c r="F62" s="2" t="s">
        <v>60</v>
      </c>
      <c r="G62" s="2" t="s">
        <v>43</v>
      </c>
      <c r="H62" s="4">
        <v>3242900</v>
      </c>
      <c r="I62" s="2" t="s">
        <v>177</v>
      </c>
      <c r="J62" s="2" t="s">
        <v>45</v>
      </c>
      <c r="K62" s="2" t="s">
        <v>39</v>
      </c>
      <c r="L62" s="2">
        <v>8.1999999999999993</v>
      </c>
      <c r="M62" s="2"/>
      <c r="N62" s="2"/>
      <c r="O62" s="3"/>
      <c r="P62" s="3"/>
      <c r="Q62" s="2"/>
      <c r="R62" s="2"/>
      <c r="S62" s="2"/>
      <c r="T62" s="2"/>
      <c r="U62" s="33"/>
      <c r="V62" s="2"/>
      <c r="W62" s="2">
        <v>79</v>
      </c>
      <c r="X62" s="24">
        <v>29</v>
      </c>
      <c r="Y62" s="2">
        <v>22</v>
      </c>
      <c r="Z62" s="2">
        <v>3.27</v>
      </c>
      <c r="AA62" s="2">
        <v>1.08</v>
      </c>
      <c r="AB62" s="5">
        <v>30</v>
      </c>
      <c r="AC62" s="5">
        <v>7</v>
      </c>
      <c r="AD62" s="5">
        <v>4</v>
      </c>
      <c r="AE62" s="5">
        <v>2.61</v>
      </c>
      <c r="AF62" s="5">
        <v>1.07</v>
      </c>
      <c r="AG62" s="5">
        <v>1</v>
      </c>
    </row>
    <row r="63" spans="1:33" ht="16">
      <c r="A63" s="1">
        <v>2019</v>
      </c>
      <c r="B63" s="2">
        <v>1</v>
      </c>
      <c r="C63" s="2">
        <v>21</v>
      </c>
      <c r="D63" s="2" t="s">
        <v>3</v>
      </c>
      <c r="E63" s="2">
        <v>21</v>
      </c>
      <c r="F63" s="2" t="s">
        <v>136</v>
      </c>
      <c r="G63" s="2" t="s">
        <v>43</v>
      </c>
      <c r="H63" s="4">
        <v>3129800</v>
      </c>
      <c r="I63" s="2" t="s">
        <v>178</v>
      </c>
      <c r="J63" s="2" t="s">
        <v>58</v>
      </c>
      <c r="K63" s="2" t="s">
        <v>54</v>
      </c>
      <c r="L63" s="2">
        <v>-0.7</v>
      </c>
      <c r="M63" s="2">
        <v>31</v>
      </c>
      <c r="N63" s="2">
        <v>68</v>
      </c>
      <c r="O63" s="2">
        <v>1</v>
      </c>
      <c r="P63" s="2">
        <v>0.11799999999999999</v>
      </c>
      <c r="Q63" s="2">
        <v>0.318</v>
      </c>
      <c r="R63" s="24">
        <v>356</v>
      </c>
      <c r="S63" s="34">
        <v>1356</v>
      </c>
      <c r="T63" s="34">
        <v>38</v>
      </c>
      <c r="U63" s="35">
        <v>0.248</v>
      </c>
      <c r="V63" s="34">
        <v>0.70799999999999996</v>
      </c>
      <c r="Y63" s="2"/>
      <c r="Z63" s="3"/>
      <c r="AA63" s="3"/>
      <c r="AG63" s="5">
        <v>0</v>
      </c>
    </row>
    <row r="64" spans="1:33" ht="16">
      <c r="A64" s="1">
        <v>2019</v>
      </c>
      <c r="B64" s="2">
        <v>1</v>
      </c>
      <c r="C64" s="2">
        <v>22</v>
      </c>
      <c r="D64" s="2" t="s">
        <v>3</v>
      </c>
      <c r="E64" s="2">
        <v>22</v>
      </c>
      <c r="F64" s="2" t="s">
        <v>101</v>
      </c>
      <c r="G64" s="2" t="s">
        <v>43</v>
      </c>
      <c r="H64" s="4">
        <v>3024500</v>
      </c>
      <c r="I64" s="2" t="s">
        <v>179</v>
      </c>
      <c r="J64" s="2" t="s">
        <v>58</v>
      </c>
      <c r="K64" s="2" t="s">
        <v>54</v>
      </c>
      <c r="L64" s="2">
        <v>0.1</v>
      </c>
      <c r="M64" s="2">
        <v>6</v>
      </c>
      <c r="N64" s="2">
        <v>5</v>
      </c>
      <c r="O64" s="2">
        <v>1</v>
      </c>
      <c r="P64" s="2">
        <v>0.2</v>
      </c>
      <c r="Q64" s="2">
        <v>1.133</v>
      </c>
      <c r="R64" s="24">
        <v>321</v>
      </c>
      <c r="S64" s="34">
        <v>1241</v>
      </c>
      <c r="T64" s="34">
        <v>40</v>
      </c>
      <c r="U64" s="35">
        <v>0.26400000000000001</v>
      </c>
      <c r="V64" s="34">
        <v>0.78700000000000003</v>
      </c>
      <c r="AG64" s="5">
        <v>0</v>
      </c>
    </row>
    <row r="65" spans="1:33" ht="16">
      <c r="A65" s="1">
        <v>2019</v>
      </c>
      <c r="B65" s="2">
        <v>1</v>
      </c>
      <c r="C65" s="2">
        <v>23</v>
      </c>
      <c r="D65" s="2" t="s">
        <v>3</v>
      </c>
      <c r="E65" s="2">
        <v>23</v>
      </c>
      <c r="F65" s="2" t="s">
        <v>67</v>
      </c>
      <c r="G65" s="2" t="s">
        <v>43</v>
      </c>
      <c r="H65" s="4">
        <v>2725000</v>
      </c>
      <c r="I65" s="2" t="s">
        <v>180</v>
      </c>
      <c r="J65" s="2" t="s">
        <v>103</v>
      </c>
      <c r="K65" s="2" t="s">
        <v>54</v>
      </c>
      <c r="L65" s="2">
        <v>-0.4</v>
      </c>
      <c r="M65" s="2">
        <v>140</v>
      </c>
      <c r="N65" s="2">
        <v>473</v>
      </c>
      <c r="O65" s="2">
        <v>25</v>
      </c>
      <c r="P65" s="2">
        <v>0.19900000000000001</v>
      </c>
      <c r="Q65" s="2">
        <v>0.67</v>
      </c>
      <c r="R65" s="24">
        <v>378</v>
      </c>
      <c r="S65" s="34">
        <v>1426</v>
      </c>
      <c r="T65" s="34">
        <v>86</v>
      </c>
      <c r="U65" s="35">
        <v>0.247</v>
      </c>
      <c r="V65" s="34">
        <v>0.83399999999999996</v>
      </c>
      <c r="AG65" s="5">
        <v>0</v>
      </c>
    </row>
    <row r="66" spans="1:33" ht="16">
      <c r="A66" s="1">
        <v>2019</v>
      </c>
      <c r="B66" s="2">
        <v>1</v>
      </c>
      <c r="C66" s="2">
        <v>24</v>
      </c>
      <c r="D66" s="2" t="s">
        <v>3</v>
      </c>
      <c r="E66" s="2">
        <v>24</v>
      </c>
      <c r="F66" s="2" t="s">
        <v>105</v>
      </c>
      <c r="G66" s="2" t="s">
        <v>43</v>
      </c>
      <c r="H66" s="4">
        <v>2500000</v>
      </c>
      <c r="I66" s="2" t="s">
        <v>181</v>
      </c>
      <c r="J66" s="2" t="s">
        <v>45</v>
      </c>
      <c r="K66" s="2" t="s">
        <v>39</v>
      </c>
      <c r="L66" s="2">
        <v>0</v>
      </c>
      <c r="M66" s="2"/>
      <c r="N66" s="3"/>
      <c r="O66" s="3"/>
      <c r="P66" s="3"/>
      <c r="Q66" s="3"/>
      <c r="R66" s="3"/>
      <c r="S66" s="2"/>
      <c r="T66" s="3"/>
      <c r="U66" s="3"/>
      <c r="V66" s="3"/>
      <c r="W66" s="2">
        <v>0</v>
      </c>
      <c r="X66" s="23">
        <v>0</v>
      </c>
      <c r="Y66" s="2">
        <v>0</v>
      </c>
      <c r="Z66" s="23">
        <v>0</v>
      </c>
      <c r="AA66" s="2">
        <v>0</v>
      </c>
      <c r="AB66" s="5">
        <v>33</v>
      </c>
      <c r="AC66" s="5">
        <v>4</v>
      </c>
      <c r="AD66" s="5">
        <v>11</v>
      </c>
      <c r="AE66" s="5">
        <v>3.57</v>
      </c>
      <c r="AF66" s="5">
        <v>1.06</v>
      </c>
      <c r="AG66" s="5">
        <v>0</v>
      </c>
    </row>
    <row r="67" spans="1:33" ht="16">
      <c r="A67" s="1">
        <v>2019</v>
      </c>
      <c r="B67" s="2">
        <v>1</v>
      </c>
      <c r="C67" s="2">
        <v>25</v>
      </c>
      <c r="D67" s="2" t="s">
        <v>3</v>
      </c>
      <c r="E67" s="2">
        <v>25</v>
      </c>
      <c r="F67" s="2" t="s">
        <v>108</v>
      </c>
      <c r="G67" s="2" t="s">
        <v>43</v>
      </c>
      <c r="H67" s="36">
        <v>0</v>
      </c>
      <c r="I67" s="2" t="s">
        <v>182</v>
      </c>
      <c r="J67" s="2" t="s">
        <v>119</v>
      </c>
      <c r="K67" s="2" t="s">
        <v>54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4">
        <v>377</v>
      </c>
      <c r="S67" s="34">
        <v>1385</v>
      </c>
      <c r="T67" s="34">
        <v>36</v>
      </c>
      <c r="U67" s="35">
        <v>0.248</v>
      </c>
      <c r="V67" s="34">
        <v>0.69</v>
      </c>
      <c r="AG67" s="5">
        <v>0</v>
      </c>
    </row>
    <row r="68" spans="1:33" ht="16">
      <c r="A68" s="1">
        <v>2019</v>
      </c>
      <c r="B68" s="2">
        <v>1</v>
      </c>
      <c r="C68" s="2">
        <v>26</v>
      </c>
      <c r="D68" s="2" t="s">
        <v>3</v>
      </c>
      <c r="E68" s="2">
        <v>26</v>
      </c>
      <c r="F68" s="2" t="s">
        <v>89</v>
      </c>
      <c r="G68" s="2" t="s">
        <v>43</v>
      </c>
      <c r="H68" s="4">
        <v>2450000</v>
      </c>
      <c r="I68" s="2" t="s">
        <v>183</v>
      </c>
      <c r="J68" s="2" t="s">
        <v>38</v>
      </c>
      <c r="K68" s="2" t="s">
        <v>39</v>
      </c>
      <c r="L68" s="2">
        <v>0.3</v>
      </c>
      <c r="M68" s="2"/>
      <c r="N68" s="3"/>
      <c r="O68" s="3"/>
      <c r="P68" s="3"/>
      <c r="Q68" s="2"/>
      <c r="R68" s="2"/>
      <c r="S68" s="2"/>
      <c r="T68" s="2"/>
      <c r="U68" s="2"/>
      <c r="V68" s="2"/>
      <c r="W68" s="2">
        <v>3</v>
      </c>
      <c r="X68" s="24">
        <v>0</v>
      </c>
      <c r="Y68" s="2">
        <v>0</v>
      </c>
      <c r="Z68" s="2">
        <v>2.84</v>
      </c>
      <c r="AA68" s="2">
        <v>1.42</v>
      </c>
      <c r="AB68" s="5">
        <v>88</v>
      </c>
      <c r="AC68" s="5">
        <v>27</v>
      </c>
      <c r="AD68" s="5">
        <v>15</v>
      </c>
      <c r="AE68" s="5">
        <v>4.37</v>
      </c>
      <c r="AF68" s="5">
        <v>1.44</v>
      </c>
      <c r="AG68" s="5">
        <v>0</v>
      </c>
    </row>
    <row r="69" spans="1:33" ht="16">
      <c r="A69" s="1">
        <v>2019</v>
      </c>
      <c r="B69" s="2">
        <v>1</v>
      </c>
      <c r="C69" s="2">
        <v>27</v>
      </c>
      <c r="D69" s="2" t="s">
        <v>3</v>
      </c>
      <c r="E69" s="2">
        <v>27</v>
      </c>
      <c r="F69" s="2" t="s">
        <v>51</v>
      </c>
      <c r="G69" s="2" t="s">
        <v>43</v>
      </c>
      <c r="H69" s="4">
        <v>2000000</v>
      </c>
      <c r="I69" s="2" t="s">
        <v>184</v>
      </c>
      <c r="J69" s="2" t="s">
        <v>45</v>
      </c>
      <c r="K69" s="2" t="s">
        <v>39</v>
      </c>
      <c r="L69" s="2">
        <v>0</v>
      </c>
      <c r="M69" s="2"/>
      <c r="N69" s="3"/>
      <c r="O69" s="3"/>
      <c r="P69" s="3"/>
      <c r="Q69" s="3"/>
      <c r="R69" s="3"/>
      <c r="S69" s="2"/>
      <c r="T69" s="3"/>
      <c r="U69" s="3"/>
      <c r="V69" s="3"/>
      <c r="W69" s="2">
        <v>0</v>
      </c>
      <c r="X69" s="23">
        <v>0</v>
      </c>
      <c r="Y69" s="2">
        <v>0</v>
      </c>
      <c r="Z69" s="2">
        <v>0</v>
      </c>
      <c r="AA69" s="2">
        <v>0</v>
      </c>
      <c r="AB69" s="5">
        <v>117</v>
      </c>
      <c r="AC69" s="5">
        <v>11</v>
      </c>
      <c r="AD69" s="5">
        <v>22</v>
      </c>
      <c r="AE69" s="5">
        <v>4.21</v>
      </c>
      <c r="AF69" s="5">
        <v>1.46</v>
      </c>
      <c r="AG69" s="5">
        <v>0</v>
      </c>
    </row>
    <row r="70" spans="1:33" ht="16">
      <c r="A70" s="1">
        <v>2019</v>
      </c>
      <c r="B70" s="2">
        <v>1</v>
      </c>
      <c r="C70" s="2">
        <v>28</v>
      </c>
      <c r="D70" s="2" t="s">
        <v>3</v>
      </c>
      <c r="E70" s="2">
        <v>28</v>
      </c>
      <c r="F70" s="2" t="s">
        <v>78</v>
      </c>
      <c r="G70" s="2" t="s">
        <v>43</v>
      </c>
      <c r="H70" s="4">
        <v>1800000</v>
      </c>
      <c r="I70" s="2" t="s">
        <v>185</v>
      </c>
      <c r="J70" s="2" t="s">
        <v>38</v>
      </c>
      <c r="K70" s="2" t="s">
        <v>39</v>
      </c>
      <c r="L70" s="2">
        <v>-0.3</v>
      </c>
      <c r="M70" s="2"/>
      <c r="N70" s="2"/>
      <c r="O70" s="3"/>
      <c r="P70" s="3"/>
      <c r="Q70" s="2"/>
      <c r="R70" s="2"/>
      <c r="S70" s="2"/>
      <c r="T70" s="2"/>
      <c r="U70" s="2"/>
      <c r="V70" s="2"/>
      <c r="W70" s="2">
        <v>4</v>
      </c>
      <c r="X70" s="24">
        <v>0</v>
      </c>
      <c r="Y70" s="2">
        <v>0</v>
      </c>
      <c r="Z70" s="2">
        <v>8.7100000000000009</v>
      </c>
      <c r="AA70" s="2">
        <v>2.61</v>
      </c>
      <c r="AB70" s="5">
        <v>97</v>
      </c>
      <c r="AC70" s="5">
        <v>13</v>
      </c>
      <c r="AD70" s="5">
        <v>14</v>
      </c>
      <c r="AE70" s="5">
        <v>3.16</v>
      </c>
      <c r="AF70" s="5">
        <v>1.25</v>
      </c>
      <c r="AG70" s="5">
        <v>0</v>
      </c>
    </row>
    <row r="71" spans="1:33" ht="16">
      <c r="A71" s="1">
        <v>2019</v>
      </c>
      <c r="B71" s="2">
        <v>1</v>
      </c>
      <c r="C71" s="2">
        <v>29</v>
      </c>
      <c r="D71" s="2" t="s">
        <v>3</v>
      </c>
      <c r="E71" s="2">
        <v>29</v>
      </c>
      <c r="F71" s="2" t="s">
        <v>117</v>
      </c>
      <c r="G71" s="2" t="s">
        <v>43</v>
      </c>
      <c r="H71" s="4">
        <v>2424600</v>
      </c>
      <c r="I71" s="2" t="s">
        <v>186</v>
      </c>
      <c r="J71" s="2" t="s">
        <v>58</v>
      </c>
      <c r="K71" s="2" t="s">
        <v>54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4">
        <v>450</v>
      </c>
      <c r="S71" s="34">
        <v>1661</v>
      </c>
      <c r="T71" s="34">
        <v>42</v>
      </c>
      <c r="U71" s="35">
        <v>0.249</v>
      </c>
      <c r="V71" s="34">
        <v>0.72</v>
      </c>
      <c r="AG71" s="5">
        <v>0</v>
      </c>
    </row>
    <row r="72" spans="1:33" ht="16">
      <c r="A72" s="1">
        <v>2019</v>
      </c>
      <c r="B72" s="2">
        <v>1</v>
      </c>
      <c r="C72" s="2">
        <v>30</v>
      </c>
      <c r="D72" s="2" t="s">
        <v>3</v>
      </c>
      <c r="E72" s="2">
        <v>30</v>
      </c>
      <c r="F72" s="2" t="s">
        <v>187</v>
      </c>
      <c r="G72" s="2" t="s">
        <v>43</v>
      </c>
      <c r="H72" s="4">
        <v>2740300</v>
      </c>
      <c r="I72" s="2" t="s">
        <v>188</v>
      </c>
      <c r="J72" s="2" t="s">
        <v>58</v>
      </c>
      <c r="K72" s="2" t="s">
        <v>54</v>
      </c>
      <c r="L72" s="2">
        <v>6.1</v>
      </c>
      <c r="M72" s="2">
        <v>268</v>
      </c>
      <c r="N72" s="2">
        <v>996</v>
      </c>
      <c r="O72" s="2">
        <v>30</v>
      </c>
      <c r="P72" s="2">
        <v>0.23</v>
      </c>
      <c r="Q72" s="2">
        <v>0.67800000000000005</v>
      </c>
      <c r="R72" s="24">
        <v>275</v>
      </c>
      <c r="S72" s="34">
        <v>1044</v>
      </c>
      <c r="T72" s="34">
        <v>50</v>
      </c>
      <c r="U72" s="35">
        <v>0.26200000000000001</v>
      </c>
      <c r="V72" s="34">
        <v>0.88100000000000001</v>
      </c>
      <c r="AG72" s="5">
        <v>0</v>
      </c>
    </row>
    <row r="73" spans="1:33" ht="16">
      <c r="A73" s="1">
        <v>2019</v>
      </c>
      <c r="B73" s="2">
        <v>1</v>
      </c>
      <c r="C73" s="2">
        <v>31</v>
      </c>
      <c r="D73" s="2" t="s">
        <v>3</v>
      </c>
      <c r="E73" s="2">
        <v>31</v>
      </c>
      <c r="F73" s="2" t="s">
        <v>108</v>
      </c>
      <c r="G73" s="2" t="s">
        <v>43</v>
      </c>
      <c r="H73" s="4">
        <v>2312000</v>
      </c>
      <c r="I73" s="2" t="s">
        <v>189</v>
      </c>
      <c r="J73" s="2" t="s">
        <v>144</v>
      </c>
      <c r="K73" s="2" t="s">
        <v>54</v>
      </c>
      <c r="L73" s="2">
        <v>2.2000000000000002</v>
      </c>
      <c r="M73" s="2">
        <v>131</v>
      </c>
      <c r="N73" s="2">
        <v>407</v>
      </c>
      <c r="O73" s="2">
        <v>15</v>
      </c>
      <c r="P73" s="2">
        <v>0.24099999999999999</v>
      </c>
      <c r="Q73" s="2">
        <v>0.746</v>
      </c>
      <c r="R73" s="2">
        <v>357</v>
      </c>
      <c r="S73" s="34">
        <v>1375</v>
      </c>
      <c r="T73" s="34">
        <v>79</v>
      </c>
      <c r="U73" s="35">
        <v>0.28299999999999997</v>
      </c>
      <c r="V73" s="34">
        <v>0.91900000000000004</v>
      </c>
      <c r="AG73" s="5">
        <v>0</v>
      </c>
    </row>
    <row r="74" spans="1:33" ht="16">
      <c r="A74" s="1">
        <v>2019</v>
      </c>
      <c r="B74" s="2">
        <v>1</v>
      </c>
      <c r="C74" s="2">
        <v>32</v>
      </c>
      <c r="D74" s="2" t="s">
        <v>3</v>
      </c>
      <c r="E74" s="2">
        <v>32</v>
      </c>
      <c r="F74" s="2" t="s">
        <v>35</v>
      </c>
      <c r="G74" s="2" t="s">
        <v>43</v>
      </c>
      <c r="H74" s="4">
        <v>1750000</v>
      </c>
      <c r="I74" s="2" t="s">
        <v>190</v>
      </c>
      <c r="J74" s="2" t="s">
        <v>53</v>
      </c>
      <c r="K74" s="2" t="s">
        <v>54</v>
      </c>
      <c r="L74" s="2">
        <v>-1</v>
      </c>
      <c r="M74" s="2">
        <v>122</v>
      </c>
      <c r="N74" s="2">
        <v>344</v>
      </c>
      <c r="O74" s="2">
        <v>10</v>
      </c>
      <c r="P74" s="2">
        <v>0.183</v>
      </c>
      <c r="Q74" s="2">
        <v>0.53</v>
      </c>
      <c r="R74" s="2">
        <v>338</v>
      </c>
      <c r="S74" s="34">
        <v>1291</v>
      </c>
      <c r="T74" s="34">
        <v>44</v>
      </c>
      <c r="U74" s="35">
        <v>0.26300000000000001</v>
      </c>
      <c r="V74" s="34">
        <v>0.75600000000000001</v>
      </c>
      <c r="AG74" s="5">
        <v>0</v>
      </c>
    </row>
    <row r="75" spans="1:33" ht="16">
      <c r="A75" s="1">
        <v>2019</v>
      </c>
      <c r="B75" s="2">
        <v>1</v>
      </c>
      <c r="C75" s="2">
        <v>33</v>
      </c>
      <c r="D75" s="2" t="s">
        <v>3</v>
      </c>
      <c r="E75" s="2">
        <v>33</v>
      </c>
      <c r="F75" s="2" t="s">
        <v>89</v>
      </c>
      <c r="G75" s="2" t="s">
        <v>43</v>
      </c>
      <c r="H75" s="4">
        <v>2202200</v>
      </c>
      <c r="I75" s="2" t="s">
        <v>191</v>
      </c>
      <c r="J75" s="2" t="s">
        <v>45</v>
      </c>
      <c r="K75" s="2" t="s">
        <v>39</v>
      </c>
      <c r="L75" s="2">
        <v>0</v>
      </c>
      <c r="M75" s="2"/>
      <c r="N75" s="3"/>
      <c r="O75" s="3"/>
      <c r="P75" s="3"/>
      <c r="Q75" s="3"/>
      <c r="R75" s="3"/>
      <c r="S75" s="2"/>
      <c r="T75" s="3"/>
      <c r="U75" s="3"/>
      <c r="V75" s="3"/>
      <c r="W75" s="2">
        <v>0</v>
      </c>
      <c r="X75" s="23">
        <v>0</v>
      </c>
      <c r="Y75" s="2">
        <v>0</v>
      </c>
      <c r="Z75" s="2">
        <v>0</v>
      </c>
      <c r="AA75" s="2">
        <v>0</v>
      </c>
      <c r="AB75" s="5">
        <v>29</v>
      </c>
      <c r="AC75" s="5">
        <v>2</v>
      </c>
      <c r="AD75" s="5">
        <v>4</v>
      </c>
      <c r="AE75" s="5">
        <v>4.54</v>
      </c>
      <c r="AF75" s="5">
        <v>1.6</v>
      </c>
      <c r="AG75" s="5">
        <v>0</v>
      </c>
    </row>
    <row r="76" spans="1:33" ht="16">
      <c r="A76" s="1">
        <v>2019</v>
      </c>
      <c r="B76" s="2">
        <v>1</v>
      </c>
      <c r="C76" s="2">
        <v>34</v>
      </c>
      <c r="D76" s="2" t="s">
        <v>3</v>
      </c>
      <c r="E76" s="2">
        <v>34</v>
      </c>
      <c r="F76" s="2" t="s">
        <v>89</v>
      </c>
      <c r="G76" s="2" t="s">
        <v>43</v>
      </c>
      <c r="H76" s="4">
        <v>1400000</v>
      </c>
      <c r="I76" s="2" t="s">
        <v>192</v>
      </c>
      <c r="J76" s="2" t="s">
        <v>45</v>
      </c>
      <c r="K76" s="2" t="s">
        <v>39</v>
      </c>
      <c r="L76" s="2">
        <v>2</v>
      </c>
      <c r="M76" s="2"/>
      <c r="N76" s="2"/>
      <c r="O76" s="3"/>
      <c r="P76" s="3"/>
      <c r="Q76" s="2"/>
      <c r="R76" s="2"/>
      <c r="S76" s="2"/>
      <c r="T76" s="2"/>
      <c r="U76" s="2"/>
      <c r="V76" s="2"/>
      <c r="W76" s="2">
        <v>19</v>
      </c>
      <c r="X76" s="24">
        <v>6</v>
      </c>
      <c r="Y76" s="2">
        <v>1</v>
      </c>
      <c r="Z76" s="2">
        <v>2.63</v>
      </c>
      <c r="AA76" s="2">
        <v>1.31</v>
      </c>
      <c r="AB76" s="5">
        <v>60</v>
      </c>
      <c r="AC76" s="5">
        <v>6</v>
      </c>
      <c r="AD76" s="5">
        <v>9</v>
      </c>
      <c r="AE76" s="5">
        <v>5.34</v>
      </c>
      <c r="AF76" s="5">
        <v>1.4</v>
      </c>
      <c r="AG76" s="5">
        <v>0</v>
      </c>
    </row>
    <row r="77" spans="1:33" ht="16">
      <c r="A77" s="1">
        <v>2019</v>
      </c>
      <c r="B77" s="2">
        <v>1</v>
      </c>
      <c r="C77" s="2">
        <v>35</v>
      </c>
      <c r="D77" s="2" t="s">
        <v>3</v>
      </c>
      <c r="E77" s="2">
        <v>35</v>
      </c>
      <c r="F77" s="2" t="s">
        <v>42</v>
      </c>
      <c r="G77" s="2" t="s">
        <v>43</v>
      </c>
      <c r="H77" s="4">
        <v>2115000</v>
      </c>
      <c r="I77" s="2" t="s">
        <v>193</v>
      </c>
      <c r="J77" s="2" t="s">
        <v>173</v>
      </c>
      <c r="K77" s="2" t="s">
        <v>54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485</v>
      </c>
      <c r="S77" s="34">
        <v>1762</v>
      </c>
      <c r="T77" s="34">
        <v>66</v>
      </c>
      <c r="U77" s="35">
        <v>0.246</v>
      </c>
      <c r="V77" s="34">
        <v>0.80200000000000005</v>
      </c>
      <c r="AG77" s="5">
        <v>0</v>
      </c>
    </row>
    <row r="78" spans="1:33" ht="16">
      <c r="A78" s="1">
        <v>2019</v>
      </c>
      <c r="B78" s="2">
        <v>1</v>
      </c>
      <c r="C78" s="2">
        <v>36</v>
      </c>
      <c r="D78" s="2" t="s">
        <v>3</v>
      </c>
      <c r="E78" s="2">
        <v>36</v>
      </c>
      <c r="F78" s="2" t="s">
        <v>101</v>
      </c>
      <c r="G78" s="2" t="s">
        <v>43</v>
      </c>
      <c r="H78" s="4">
        <v>2042900</v>
      </c>
      <c r="I78" s="2" t="s">
        <v>194</v>
      </c>
      <c r="J78" s="2" t="s">
        <v>45</v>
      </c>
      <c r="K78" s="2" t="s">
        <v>39</v>
      </c>
      <c r="L78" s="2">
        <v>0</v>
      </c>
      <c r="M78" s="2"/>
      <c r="N78" s="3"/>
      <c r="O78" s="3"/>
      <c r="P78" s="3"/>
      <c r="Q78" s="3"/>
      <c r="R78" s="3"/>
      <c r="S78" s="2"/>
      <c r="T78" s="3"/>
      <c r="U78" s="3"/>
      <c r="V78" s="3"/>
      <c r="W78" s="2">
        <v>0</v>
      </c>
      <c r="X78" s="23">
        <v>0</v>
      </c>
      <c r="Y78" s="2">
        <v>0</v>
      </c>
      <c r="Z78" s="2">
        <v>0</v>
      </c>
      <c r="AA78" s="2">
        <v>0</v>
      </c>
      <c r="AB78" s="5">
        <v>77</v>
      </c>
      <c r="AC78" s="5">
        <v>14</v>
      </c>
      <c r="AD78" s="5">
        <v>4</v>
      </c>
      <c r="AE78" s="5">
        <v>4.5199999999999996</v>
      </c>
      <c r="AF78" s="5">
        <v>1.29</v>
      </c>
      <c r="AG78" s="5">
        <v>0</v>
      </c>
    </row>
    <row r="79" spans="1:33" ht="16">
      <c r="A79" s="1">
        <v>2019</v>
      </c>
      <c r="B79" s="2">
        <v>1</v>
      </c>
      <c r="C79" s="2">
        <v>37</v>
      </c>
      <c r="D79" s="2" t="s">
        <v>3</v>
      </c>
      <c r="E79" s="2">
        <v>37</v>
      </c>
      <c r="F79" s="2" t="s">
        <v>114</v>
      </c>
      <c r="G79" s="2" t="s">
        <v>43</v>
      </c>
      <c r="H79" s="4">
        <v>2150000</v>
      </c>
      <c r="I79" s="2" t="s">
        <v>195</v>
      </c>
      <c r="J79" s="2" t="s">
        <v>173</v>
      </c>
      <c r="K79" s="2" t="s">
        <v>54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367</v>
      </c>
      <c r="S79" s="34">
        <v>1264</v>
      </c>
      <c r="T79" s="34">
        <v>32</v>
      </c>
      <c r="U79" s="35">
        <v>0.23100000000000001</v>
      </c>
      <c r="V79" s="34">
        <v>0.70599999999999996</v>
      </c>
      <c r="AG79" s="5">
        <v>0</v>
      </c>
    </row>
    <row r="80" spans="1:33" ht="16">
      <c r="A80" s="1">
        <v>2019</v>
      </c>
      <c r="B80" s="2">
        <v>1</v>
      </c>
      <c r="C80" s="2">
        <v>38</v>
      </c>
      <c r="D80" s="2" t="s">
        <v>3</v>
      </c>
      <c r="E80" s="2">
        <v>38</v>
      </c>
      <c r="F80" s="2" t="s">
        <v>187</v>
      </c>
      <c r="G80" s="2" t="s">
        <v>43</v>
      </c>
      <c r="H80" s="4">
        <v>1949800</v>
      </c>
      <c r="I80" s="2" t="s">
        <v>196</v>
      </c>
      <c r="J80" s="2" t="s">
        <v>38</v>
      </c>
      <c r="K80" s="2" t="s">
        <v>39</v>
      </c>
      <c r="L80" s="2">
        <v>0</v>
      </c>
      <c r="M80" s="2"/>
      <c r="N80" s="3"/>
      <c r="O80" s="3"/>
      <c r="P80" s="3"/>
      <c r="Q80" s="3"/>
      <c r="R80" s="3"/>
      <c r="S80" s="2"/>
      <c r="T80" s="3"/>
      <c r="U80" s="3"/>
      <c r="V80" s="3"/>
      <c r="W80" s="2">
        <v>0</v>
      </c>
      <c r="X80" s="24">
        <v>0</v>
      </c>
      <c r="Y80" s="2">
        <v>0</v>
      </c>
      <c r="Z80" s="2">
        <v>0</v>
      </c>
      <c r="AA80" s="2">
        <v>0</v>
      </c>
      <c r="AB80" s="5">
        <v>71</v>
      </c>
      <c r="AC80" s="5">
        <v>8</v>
      </c>
      <c r="AD80" s="5">
        <v>13</v>
      </c>
      <c r="AE80" s="5">
        <v>4.92</v>
      </c>
      <c r="AF80" s="5">
        <v>1.26</v>
      </c>
      <c r="AG80" s="5">
        <v>0</v>
      </c>
    </row>
    <row r="81" spans="1:33" ht="16">
      <c r="A81" s="1">
        <v>2019</v>
      </c>
      <c r="B81" s="2">
        <v>1</v>
      </c>
      <c r="C81" s="2">
        <v>39</v>
      </c>
      <c r="D81" s="2" t="s">
        <v>3</v>
      </c>
      <c r="E81" s="2">
        <v>39</v>
      </c>
      <c r="F81" s="2" t="s">
        <v>56</v>
      </c>
      <c r="G81" s="2" t="s">
        <v>43</v>
      </c>
      <c r="H81" s="4">
        <v>1800000</v>
      </c>
      <c r="I81" s="2" t="s">
        <v>197</v>
      </c>
      <c r="J81" s="2" t="s">
        <v>198</v>
      </c>
      <c r="K81" s="2" t="s">
        <v>54</v>
      </c>
      <c r="L81" s="2">
        <v>3</v>
      </c>
      <c r="M81" s="2">
        <v>122</v>
      </c>
      <c r="N81" s="2">
        <v>339</v>
      </c>
      <c r="O81" s="2">
        <v>22</v>
      </c>
      <c r="P81" s="2">
        <v>0.248</v>
      </c>
      <c r="Q81" s="2">
        <v>0.872</v>
      </c>
      <c r="R81" s="2">
        <v>395</v>
      </c>
      <c r="S81" s="34">
        <v>1487</v>
      </c>
      <c r="T81" s="34">
        <v>80</v>
      </c>
      <c r="U81" s="35">
        <v>0.27100000000000002</v>
      </c>
      <c r="V81" s="34">
        <v>0.89600000000000002</v>
      </c>
      <c r="AG81" s="5">
        <v>0</v>
      </c>
    </row>
    <row r="82" spans="1:33" ht="16">
      <c r="A82" s="1">
        <v>2019</v>
      </c>
      <c r="B82" s="2">
        <v>1</v>
      </c>
      <c r="C82" s="2">
        <v>40</v>
      </c>
      <c r="D82" s="2" t="s">
        <v>3</v>
      </c>
      <c r="E82" s="2">
        <v>40</v>
      </c>
      <c r="F82" s="2" t="s">
        <v>101</v>
      </c>
      <c r="G82" s="2" t="s">
        <v>43</v>
      </c>
      <c r="H82" s="4">
        <v>1722500</v>
      </c>
      <c r="I82" s="2" t="s">
        <v>199</v>
      </c>
      <c r="J82" s="2" t="s">
        <v>45</v>
      </c>
      <c r="K82" s="2" t="s">
        <v>39</v>
      </c>
      <c r="L82" s="2">
        <v>0</v>
      </c>
      <c r="M82" s="2"/>
      <c r="N82" s="3"/>
      <c r="O82" s="3"/>
      <c r="P82" s="3"/>
      <c r="Q82" s="3"/>
      <c r="R82" s="3"/>
      <c r="S82" s="2"/>
      <c r="T82" s="3"/>
      <c r="U82" s="3"/>
      <c r="V82" s="3"/>
      <c r="W82" s="2">
        <v>0</v>
      </c>
      <c r="X82" s="23">
        <v>0</v>
      </c>
      <c r="Y82" s="2">
        <v>0</v>
      </c>
      <c r="Z82" s="2">
        <v>0</v>
      </c>
      <c r="AA82" s="2">
        <v>0</v>
      </c>
      <c r="AB82" s="5">
        <v>63</v>
      </c>
      <c r="AC82" s="5">
        <v>7</v>
      </c>
      <c r="AD82" s="5">
        <v>16</v>
      </c>
      <c r="AE82" s="5">
        <v>2.91</v>
      </c>
      <c r="AF82" s="5">
        <v>1.29</v>
      </c>
      <c r="AG82" s="5">
        <v>0</v>
      </c>
    </row>
    <row r="83" spans="1:33" ht="16">
      <c r="A83" s="1">
        <v>2019</v>
      </c>
      <c r="B83" s="2">
        <v>1</v>
      </c>
      <c r="C83" s="2">
        <v>41</v>
      </c>
      <c r="D83" s="2" t="s">
        <v>3</v>
      </c>
      <c r="E83" s="2">
        <v>41</v>
      </c>
      <c r="F83" s="2" t="s">
        <v>131</v>
      </c>
      <c r="G83" s="2" t="s">
        <v>43</v>
      </c>
      <c r="H83" s="4">
        <v>1600000</v>
      </c>
      <c r="I83" s="2" t="s">
        <v>200</v>
      </c>
      <c r="J83" s="2" t="s">
        <v>119</v>
      </c>
      <c r="K83" s="2" t="s">
        <v>54</v>
      </c>
      <c r="L83" s="2">
        <v>0</v>
      </c>
      <c r="M83" s="2">
        <v>27</v>
      </c>
      <c r="N83" s="2">
        <v>47</v>
      </c>
      <c r="O83" s="2">
        <v>1</v>
      </c>
      <c r="P83" s="2">
        <v>0.128</v>
      </c>
      <c r="Q83" s="2">
        <v>0.39700000000000002</v>
      </c>
      <c r="R83" s="2">
        <v>323</v>
      </c>
      <c r="S83" s="34">
        <v>1165</v>
      </c>
      <c r="T83" s="34">
        <v>62</v>
      </c>
      <c r="U83" s="35">
        <v>0.23400000000000001</v>
      </c>
      <c r="V83" s="34">
        <v>0.78100000000000003</v>
      </c>
      <c r="AG83" s="5">
        <v>0</v>
      </c>
    </row>
    <row r="84" spans="1:33" ht="16"/>
  </sheetData>
  <autoFilter ref="A1:AI83" xr:uid="{076F9070-A09A-B642-A92A-281595B34D4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0583-F635-F34F-AA23-5BFB8E172C80}">
  <sheetPr filterMode="1"/>
  <dimension ref="A1:AN208"/>
  <sheetViews>
    <sheetView topLeftCell="I1" zoomScale="75" zoomScaleNormal="82" workbookViewId="0">
      <selection activeCell="Q44" sqref="Q44"/>
    </sheetView>
  </sheetViews>
  <sheetFormatPr baseColWidth="10" defaultColWidth="11" defaultRowHeight="16"/>
  <cols>
    <col min="1" max="3" width="20.6640625" customWidth="1"/>
    <col min="5" max="5" width="11.83203125" customWidth="1"/>
    <col min="7" max="7" width="13.33203125" customWidth="1"/>
    <col min="12" max="12" width="13.6640625" customWidth="1"/>
    <col min="18" max="18" width="13.1640625" customWidth="1"/>
    <col min="20" max="20" width="19.33203125" bestFit="1" customWidth="1"/>
    <col min="37" max="37" width="13" bestFit="1" customWidth="1"/>
  </cols>
  <sheetData>
    <row r="1" spans="1:37" ht="27" customHeight="1">
      <c r="A1" s="120" t="s">
        <v>201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T1" s="122" t="s">
        <v>202</v>
      </c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</row>
    <row r="2" spans="1:37" ht="30" customHeight="1">
      <c r="A2" s="1" t="s">
        <v>8</v>
      </c>
      <c r="B2" s="25" t="s">
        <v>5</v>
      </c>
      <c r="C2" s="25" t="s">
        <v>203</v>
      </c>
      <c r="D2" s="1" t="s">
        <v>9</v>
      </c>
      <c r="E2" s="1" t="s">
        <v>10</v>
      </c>
      <c r="F2" s="1" t="s">
        <v>11</v>
      </c>
      <c r="G2" s="9" t="s">
        <v>22</v>
      </c>
      <c r="H2" s="9" t="s">
        <v>23</v>
      </c>
      <c r="I2" s="9" t="s">
        <v>24</v>
      </c>
      <c r="J2" s="9" t="s">
        <v>25</v>
      </c>
      <c r="K2" s="9" t="s">
        <v>26</v>
      </c>
      <c r="L2" s="10" t="s">
        <v>27</v>
      </c>
      <c r="M2" s="10" t="s">
        <v>28</v>
      </c>
      <c r="N2" s="10" t="s">
        <v>29</v>
      </c>
      <c r="O2" s="10" t="s">
        <v>30</v>
      </c>
      <c r="P2" s="10" t="s">
        <v>31</v>
      </c>
      <c r="Q2" s="1" t="s">
        <v>32</v>
      </c>
      <c r="R2" s="26" t="s">
        <v>204</v>
      </c>
      <c r="T2" s="1" t="s">
        <v>8</v>
      </c>
      <c r="U2" s="25" t="s">
        <v>5</v>
      </c>
      <c r="V2" s="25" t="s">
        <v>203</v>
      </c>
      <c r="W2" s="1" t="s">
        <v>9</v>
      </c>
      <c r="X2" s="1" t="s">
        <v>10</v>
      </c>
      <c r="Y2" s="1" t="s">
        <v>11</v>
      </c>
      <c r="Z2" s="9" t="s">
        <v>205</v>
      </c>
      <c r="AA2" s="9" t="s">
        <v>23</v>
      </c>
      <c r="AB2" s="9" t="s">
        <v>24</v>
      </c>
      <c r="AC2" s="9" t="s">
        <v>25</v>
      </c>
      <c r="AD2" s="9" t="s">
        <v>26</v>
      </c>
      <c r="AE2" s="10" t="s">
        <v>27</v>
      </c>
      <c r="AF2" s="10" t="s">
        <v>28</v>
      </c>
      <c r="AG2" s="10" t="s">
        <v>29</v>
      </c>
      <c r="AH2" s="10" t="s">
        <v>30</v>
      </c>
      <c r="AI2" s="10" t="s">
        <v>31</v>
      </c>
      <c r="AJ2" s="1" t="s">
        <v>32</v>
      </c>
      <c r="AK2" s="15" t="s">
        <v>204</v>
      </c>
    </row>
    <row r="3" spans="1:37" ht="21" hidden="1" customHeight="1">
      <c r="A3" s="2" t="s">
        <v>37</v>
      </c>
      <c r="B3" s="7" t="s">
        <v>35</v>
      </c>
      <c r="C3" s="7">
        <v>2014</v>
      </c>
      <c r="D3" s="2" t="s">
        <v>38</v>
      </c>
      <c r="E3" s="2" t="s">
        <v>39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43</v>
      </c>
      <c r="M3" s="2">
        <v>7</v>
      </c>
      <c r="N3" s="2">
        <v>18</v>
      </c>
      <c r="O3" s="13">
        <v>5.18</v>
      </c>
      <c r="P3" s="11">
        <v>1.76</v>
      </c>
      <c r="Q3" s="5">
        <v>0</v>
      </c>
      <c r="R3" t="b">
        <f>IF(F3&gt;4, TRUE, FALSE)</f>
        <v>0</v>
      </c>
      <c r="T3" s="2" t="s">
        <v>37</v>
      </c>
      <c r="U3" s="7" t="s">
        <v>35</v>
      </c>
      <c r="V3" s="7">
        <v>2014</v>
      </c>
      <c r="W3" s="2" t="s">
        <v>38</v>
      </c>
      <c r="X3" s="2" t="s">
        <v>39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43</v>
      </c>
      <c r="AF3" s="2">
        <v>7</v>
      </c>
      <c r="AG3" s="2">
        <v>18</v>
      </c>
      <c r="AH3" s="13">
        <v>5.18</v>
      </c>
      <c r="AI3" s="11">
        <v>1.76</v>
      </c>
      <c r="AJ3" s="5">
        <v>0</v>
      </c>
      <c r="AK3" s="5">
        <v>0</v>
      </c>
    </row>
    <row r="4" spans="1:37" ht="21" customHeight="1">
      <c r="A4" s="2" t="s">
        <v>44</v>
      </c>
      <c r="B4" s="7" t="s">
        <v>42</v>
      </c>
      <c r="C4" s="7">
        <v>2014</v>
      </c>
      <c r="D4" s="2" t="s">
        <v>45</v>
      </c>
      <c r="E4" s="2" t="s">
        <v>39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64</v>
      </c>
      <c r="M4" s="2">
        <v>6</v>
      </c>
      <c r="N4" s="2">
        <v>16</v>
      </c>
      <c r="O4" s="13">
        <v>5.66</v>
      </c>
      <c r="P4" s="11">
        <v>1.7290000000000001</v>
      </c>
      <c r="Q4" s="5">
        <v>0</v>
      </c>
      <c r="R4" t="b">
        <f t="shared" ref="R4:R37" si="0">IF(F4&gt;4, TRUE, FALSE)</f>
        <v>0</v>
      </c>
      <c r="T4" s="2" t="s">
        <v>44</v>
      </c>
      <c r="U4" s="7" t="s">
        <v>42</v>
      </c>
      <c r="V4" s="7">
        <v>2014</v>
      </c>
      <c r="W4" s="2" t="s">
        <v>45</v>
      </c>
      <c r="X4" s="2" t="s">
        <v>39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64</v>
      </c>
      <c r="AF4" s="2">
        <v>6</v>
      </c>
      <c r="AG4" s="2">
        <v>16</v>
      </c>
      <c r="AH4" s="13">
        <v>5.66</v>
      </c>
      <c r="AI4" s="11">
        <v>1.7290000000000001</v>
      </c>
      <c r="AJ4" s="5">
        <v>0</v>
      </c>
      <c r="AK4" s="5">
        <v>0</v>
      </c>
    </row>
    <row r="5" spans="1:37" ht="21" hidden="1" customHeight="1">
      <c r="A5" s="2" t="s">
        <v>79</v>
      </c>
      <c r="B5" s="5" t="s">
        <v>78</v>
      </c>
      <c r="C5" s="5">
        <v>2014</v>
      </c>
      <c r="D5" s="2" t="s">
        <v>38</v>
      </c>
      <c r="E5" s="2" t="s">
        <v>39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179</v>
      </c>
      <c r="M5" s="2">
        <v>27</v>
      </c>
      <c r="N5" s="2">
        <v>44</v>
      </c>
      <c r="O5" s="13">
        <v>4.91</v>
      </c>
      <c r="P5" s="11">
        <v>1.5</v>
      </c>
      <c r="Q5" s="5">
        <v>0</v>
      </c>
      <c r="R5" t="b">
        <f t="shared" si="0"/>
        <v>0</v>
      </c>
      <c r="T5" s="2" t="s">
        <v>79</v>
      </c>
      <c r="U5" s="5" t="s">
        <v>78</v>
      </c>
      <c r="V5" s="5">
        <v>2014</v>
      </c>
      <c r="W5" s="2" t="s">
        <v>38</v>
      </c>
      <c r="X5" s="2" t="s">
        <v>39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179</v>
      </c>
      <c r="AF5" s="2">
        <v>27</v>
      </c>
      <c r="AG5" s="2">
        <v>44</v>
      </c>
      <c r="AH5" s="13">
        <v>4.91</v>
      </c>
      <c r="AI5" s="11">
        <v>1.5</v>
      </c>
      <c r="AJ5" s="5">
        <v>0</v>
      </c>
      <c r="AK5" s="5">
        <v>0</v>
      </c>
    </row>
    <row r="6" spans="1:37" ht="21" hidden="1" customHeight="1">
      <c r="A6" s="2" t="s">
        <v>48</v>
      </c>
      <c r="B6" s="7" t="s">
        <v>47</v>
      </c>
      <c r="C6" s="7">
        <v>2014</v>
      </c>
      <c r="D6" s="2" t="s">
        <v>38</v>
      </c>
      <c r="E6" s="2" t="s">
        <v>39</v>
      </c>
      <c r="F6" s="2">
        <v>16.100000000000001</v>
      </c>
      <c r="G6" s="2">
        <v>184</v>
      </c>
      <c r="H6" s="2">
        <v>68</v>
      </c>
      <c r="I6" s="2">
        <v>60</v>
      </c>
      <c r="J6" s="2">
        <v>3.89</v>
      </c>
      <c r="K6" s="2">
        <v>1.25</v>
      </c>
      <c r="L6" s="2">
        <v>23</v>
      </c>
      <c r="M6" s="2">
        <v>2</v>
      </c>
      <c r="N6" s="2">
        <v>6</v>
      </c>
      <c r="O6" s="13">
        <v>3.98</v>
      </c>
      <c r="P6" s="11">
        <v>1.27</v>
      </c>
      <c r="Q6" s="5">
        <v>1</v>
      </c>
      <c r="R6" t="b">
        <f t="shared" si="0"/>
        <v>1</v>
      </c>
      <c r="T6" s="2" t="s">
        <v>48</v>
      </c>
      <c r="U6" s="7" t="s">
        <v>47</v>
      </c>
      <c r="V6" s="7">
        <v>2014</v>
      </c>
      <c r="W6" s="2" t="s">
        <v>38</v>
      </c>
      <c r="X6" s="2" t="s">
        <v>39</v>
      </c>
      <c r="Y6" s="2">
        <v>16.100000000000001</v>
      </c>
      <c r="Z6" s="2">
        <v>184</v>
      </c>
      <c r="AA6" s="2">
        <v>68</v>
      </c>
      <c r="AB6" s="2">
        <v>60</v>
      </c>
      <c r="AC6" s="2">
        <v>3.89</v>
      </c>
      <c r="AD6" s="2">
        <v>1.25</v>
      </c>
      <c r="AE6" s="2">
        <v>23</v>
      </c>
      <c r="AF6" s="2">
        <v>2</v>
      </c>
      <c r="AG6" s="2">
        <v>6</v>
      </c>
      <c r="AH6" s="13">
        <v>3.98</v>
      </c>
      <c r="AI6" s="11">
        <v>1.27</v>
      </c>
      <c r="AJ6" s="5">
        <v>1</v>
      </c>
      <c r="AK6" s="5">
        <v>1</v>
      </c>
    </row>
    <row r="7" spans="1:37" ht="21" customHeight="1">
      <c r="A7" s="2" t="s">
        <v>65</v>
      </c>
      <c r="B7" s="7" t="s">
        <v>64</v>
      </c>
      <c r="C7" s="7">
        <v>2014</v>
      </c>
      <c r="D7" s="2" t="s">
        <v>45</v>
      </c>
      <c r="E7" s="2" t="s">
        <v>39</v>
      </c>
      <c r="F7" s="2">
        <v>33.1</v>
      </c>
      <c r="G7" s="2">
        <v>252</v>
      </c>
      <c r="H7" s="2">
        <v>99</v>
      </c>
      <c r="I7" s="2">
        <v>75</v>
      </c>
      <c r="J7" s="2">
        <v>3.7</v>
      </c>
      <c r="K7" s="2">
        <v>1.1200000000000001</v>
      </c>
      <c r="L7" s="2">
        <v>32</v>
      </c>
      <c r="M7" s="2">
        <v>15</v>
      </c>
      <c r="N7" s="2">
        <v>7</v>
      </c>
      <c r="O7" s="13">
        <v>2.4700000000000002</v>
      </c>
      <c r="P7" s="11">
        <v>1.034</v>
      </c>
      <c r="Q7" s="5">
        <v>2</v>
      </c>
      <c r="R7" t="b">
        <f t="shared" si="0"/>
        <v>1</v>
      </c>
      <c r="T7" s="2" t="s">
        <v>65</v>
      </c>
      <c r="U7" s="7" t="s">
        <v>64</v>
      </c>
      <c r="V7" s="7">
        <v>2014</v>
      </c>
      <c r="W7" s="2" t="s">
        <v>45</v>
      </c>
      <c r="X7" s="2" t="s">
        <v>39</v>
      </c>
      <c r="Y7" s="2">
        <v>33.1</v>
      </c>
      <c r="Z7" s="2">
        <v>252</v>
      </c>
      <c r="AA7" s="2">
        <v>99</v>
      </c>
      <c r="AB7" s="2">
        <v>75</v>
      </c>
      <c r="AC7" s="2">
        <v>3.7</v>
      </c>
      <c r="AD7" s="2">
        <v>1.1200000000000001</v>
      </c>
      <c r="AE7" s="2">
        <v>32</v>
      </c>
      <c r="AF7" s="2">
        <v>15</v>
      </c>
      <c r="AG7" s="2">
        <v>7</v>
      </c>
      <c r="AH7" s="13">
        <v>2.4700000000000002</v>
      </c>
      <c r="AI7" s="11">
        <v>1.034</v>
      </c>
      <c r="AJ7" s="5">
        <v>2</v>
      </c>
      <c r="AK7" s="5">
        <v>1</v>
      </c>
    </row>
    <row r="8" spans="1:37" ht="21" hidden="1" customHeight="1">
      <c r="A8" s="2" t="s">
        <v>68</v>
      </c>
      <c r="B8" s="7" t="s">
        <v>67</v>
      </c>
      <c r="C8" s="5">
        <v>2014</v>
      </c>
      <c r="D8" s="2" t="s">
        <v>38</v>
      </c>
      <c r="E8" s="2" t="s">
        <v>39</v>
      </c>
      <c r="F8" s="2">
        <v>17.2</v>
      </c>
      <c r="G8" s="2">
        <v>190</v>
      </c>
      <c r="H8" s="2">
        <v>55</v>
      </c>
      <c r="I8" s="2">
        <v>68</v>
      </c>
      <c r="J8" s="2">
        <v>4.49</v>
      </c>
      <c r="K8" s="2">
        <v>1.43</v>
      </c>
      <c r="L8" s="2">
        <v>56</v>
      </c>
      <c r="M8" s="2">
        <v>18</v>
      </c>
      <c r="N8" s="2">
        <v>17</v>
      </c>
      <c r="O8" s="13">
        <v>3.93</v>
      </c>
      <c r="P8" s="11">
        <v>1.2709999999999999</v>
      </c>
      <c r="Q8" s="5">
        <v>0</v>
      </c>
      <c r="R8" t="b">
        <f t="shared" si="0"/>
        <v>1</v>
      </c>
      <c r="T8" s="2" t="s">
        <v>68</v>
      </c>
      <c r="U8" s="7" t="s">
        <v>67</v>
      </c>
      <c r="V8" s="5">
        <v>2014</v>
      </c>
      <c r="W8" s="2" t="s">
        <v>38</v>
      </c>
      <c r="X8" s="2" t="s">
        <v>39</v>
      </c>
      <c r="Y8" s="2">
        <v>17.2</v>
      </c>
      <c r="Z8" s="2">
        <v>190</v>
      </c>
      <c r="AA8" s="2">
        <v>55</v>
      </c>
      <c r="AB8" s="2">
        <v>68</v>
      </c>
      <c r="AC8" s="2">
        <v>4.49</v>
      </c>
      <c r="AD8" s="2">
        <v>1.43</v>
      </c>
      <c r="AE8" s="2">
        <v>56</v>
      </c>
      <c r="AF8" s="2">
        <v>18</v>
      </c>
      <c r="AG8" s="2">
        <v>17</v>
      </c>
      <c r="AH8" s="13">
        <v>3.93</v>
      </c>
      <c r="AI8" s="11">
        <v>1.2709999999999999</v>
      </c>
      <c r="AJ8" s="5">
        <v>0</v>
      </c>
      <c r="AK8" s="5">
        <v>1</v>
      </c>
    </row>
    <row r="9" spans="1:37" ht="21" customHeight="1">
      <c r="A9" s="2" t="s">
        <v>71</v>
      </c>
      <c r="B9" s="7" t="s">
        <v>70</v>
      </c>
      <c r="C9" s="7">
        <v>2014</v>
      </c>
      <c r="D9" s="2" t="s">
        <v>45</v>
      </c>
      <c r="E9" s="2" t="s">
        <v>39</v>
      </c>
      <c r="F9" s="2">
        <v>2.8</v>
      </c>
      <c r="G9" s="2">
        <v>225</v>
      </c>
      <c r="H9" s="2">
        <v>23</v>
      </c>
      <c r="I9" s="2">
        <v>24</v>
      </c>
      <c r="J9" s="2">
        <v>4.92</v>
      </c>
      <c r="K9" s="2">
        <v>1.45</v>
      </c>
      <c r="L9" s="2">
        <v>105</v>
      </c>
      <c r="M9" s="2">
        <v>26</v>
      </c>
      <c r="N9" s="2">
        <v>36</v>
      </c>
      <c r="O9" s="13">
        <v>4.76</v>
      </c>
      <c r="P9" s="11">
        <v>1.359</v>
      </c>
      <c r="Q9" s="5">
        <v>0</v>
      </c>
      <c r="R9" t="b">
        <f t="shared" si="0"/>
        <v>0</v>
      </c>
      <c r="T9" s="2" t="s">
        <v>71</v>
      </c>
      <c r="U9" s="7" t="s">
        <v>70</v>
      </c>
      <c r="V9" s="7">
        <v>2014</v>
      </c>
      <c r="W9" s="2" t="s">
        <v>45</v>
      </c>
      <c r="X9" s="2" t="s">
        <v>39</v>
      </c>
      <c r="Y9" s="2">
        <v>2.8</v>
      </c>
      <c r="Z9" s="2">
        <v>225</v>
      </c>
      <c r="AA9" s="2">
        <v>23</v>
      </c>
      <c r="AB9" s="2">
        <v>24</v>
      </c>
      <c r="AC9" s="2">
        <v>4.92</v>
      </c>
      <c r="AD9" s="2">
        <v>1.45</v>
      </c>
      <c r="AE9" s="2">
        <v>105</v>
      </c>
      <c r="AF9" s="2">
        <v>26</v>
      </c>
      <c r="AG9" s="2">
        <v>36</v>
      </c>
      <c r="AH9" s="13">
        <v>4.76</v>
      </c>
      <c r="AI9" s="11">
        <v>1.359</v>
      </c>
      <c r="AJ9" s="5">
        <v>0</v>
      </c>
      <c r="AK9" s="5">
        <v>0</v>
      </c>
    </row>
    <row r="10" spans="1:37" ht="21" customHeight="1">
      <c r="A10" s="2" t="s">
        <v>84</v>
      </c>
      <c r="B10" s="7" t="s">
        <v>83</v>
      </c>
      <c r="C10" s="7">
        <v>2014</v>
      </c>
      <c r="D10" s="2" t="s">
        <v>45</v>
      </c>
      <c r="E10" s="2" t="s">
        <v>39</v>
      </c>
      <c r="F10" s="2">
        <v>-1.2</v>
      </c>
      <c r="G10" s="2">
        <v>71</v>
      </c>
      <c r="H10" s="2">
        <v>8</v>
      </c>
      <c r="I10" s="2">
        <v>16</v>
      </c>
      <c r="J10" s="2">
        <v>5.55</v>
      </c>
      <c r="K10" s="2">
        <v>1.58</v>
      </c>
      <c r="L10" s="2">
        <v>137</v>
      </c>
      <c r="M10" s="2">
        <v>25</v>
      </c>
      <c r="N10" s="2">
        <v>45</v>
      </c>
      <c r="O10" s="13">
        <v>4.4400000000000004</v>
      </c>
      <c r="P10" s="11">
        <v>1.58</v>
      </c>
      <c r="Q10" s="5">
        <v>0</v>
      </c>
      <c r="R10" t="b">
        <f t="shared" si="0"/>
        <v>0</v>
      </c>
      <c r="T10" s="2" t="s">
        <v>84</v>
      </c>
      <c r="U10" s="7" t="s">
        <v>83</v>
      </c>
      <c r="V10" s="7">
        <v>2014</v>
      </c>
      <c r="W10" s="2" t="s">
        <v>45</v>
      </c>
      <c r="X10" s="2" t="s">
        <v>39</v>
      </c>
      <c r="Y10" s="2">
        <v>-1.2</v>
      </c>
      <c r="Z10" s="2">
        <v>71</v>
      </c>
      <c r="AA10" s="2">
        <v>8</v>
      </c>
      <c r="AB10" s="2">
        <v>16</v>
      </c>
      <c r="AC10" s="2">
        <v>5.55</v>
      </c>
      <c r="AD10" s="2">
        <v>1.58</v>
      </c>
      <c r="AE10" s="2">
        <v>137</v>
      </c>
      <c r="AF10" s="2">
        <v>25</v>
      </c>
      <c r="AG10" s="2">
        <v>45</v>
      </c>
      <c r="AH10" s="13">
        <v>4.4400000000000004</v>
      </c>
      <c r="AI10" s="11">
        <v>1.58</v>
      </c>
      <c r="AJ10" s="5">
        <v>0</v>
      </c>
      <c r="AK10" s="5">
        <v>0</v>
      </c>
    </row>
    <row r="11" spans="1:37" ht="21" hidden="1" customHeight="1">
      <c r="A11" s="2" t="s">
        <v>87</v>
      </c>
      <c r="B11" s="7" t="s">
        <v>86</v>
      </c>
      <c r="C11" s="5">
        <v>2014</v>
      </c>
      <c r="D11" s="2" t="s">
        <v>38</v>
      </c>
      <c r="E11" s="2" t="s">
        <v>39</v>
      </c>
      <c r="F11" s="2">
        <v>2.4</v>
      </c>
      <c r="G11" s="2">
        <v>175</v>
      </c>
      <c r="H11" s="2">
        <v>28</v>
      </c>
      <c r="I11" s="2">
        <v>25</v>
      </c>
      <c r="J11" s="2">
        <v>4.51</v>
      </c>
      <c r="K11" s="2">
        <v>1.47</v>
      </c>
      <c r="L11" s="2">
        <v>175</v>
      </c>
      <c r="M11" s="2">
        <v>28</v>
      </c>
      <c r="N11" s="2">
        <v>25</v>
      </c>
      <c r="O11" s="13">
        <v>4.51</v>
      </c>
      <c r="P11" s="11">
        <v>1.47</v>
      </c>
      <c r="Q11" s="5">
        <v>0</v>
      </c>
      <c r="R11" t="b">
        <f t="shared" si="0"/>
        <v>0</v>
      </c>
      <c r="T11" s="2" t="s">
        <v>87</v>
      </c>
      <c r="U11" s="7" t="s">
        <v>86</v>
      </c>
      <c r="V11" s="5">
        <v>2014</v>
      </c>
      <c r="W11" s="2" t="s">
        <v>38</v>
      </c>
      <c r="X11" s="2" t="s">
        <v>39</v>
      </c>
      <c r="Y11" s="2">
        <v>2.4</v>
      </c>
      <c r="Z11" s="2">
        <v>175</v>
      </c>
      <c r="AA11" s="2">
        <v>28</v>
      </c>
      <c r="AB11" s="2">
        <v>25</v>
      </c>
      <c r="AC11" s="2">
        <v>4.51</v>
      </c>
      <c r="AD11" s="2">
        <v>1.47</v>
      </c>
      <c r="AE11" s="2">
        <v>175</v>
      </c>
      <c r="AF11" s="2">
        <v>28</v>
      </c>
      <c r="AG11" s="2">
        <v>25</v>
      </c>
      <c r="AH11" s="13">
        <v>4.51</v>
      </c>
      <c r="AI11" s="11">
        <v>1.47</v>
      </c>
      <c r="AJ11" s="5">
        <v>0</v>
      </c>
      <c r="AK11" s="5">
        <v>0</v>
      </c>
    </row>
    <row r="12" spans="1:37" ht="21" customHeight="1">
      <c r="A12" s="2" t="s">
        <v>90</v>
      </c>
      <c r="B12" s="7" t="s">
        <v>89</v>
      </c>
      <c r="C12" s="7">
        <v>2014</v>
      </c>
      <c r="D12" s="2" t="s">
        <v>45</v>
      </c>
      <c r="E12" s="2" t="s">
        <v>39</v>
      </c>
      <c r="F12" s="2">
        <v>0.3</v>
      </c>
      <c r="G12" s="2">
        <v>77</v>
      </c>
      <c r="H12" s="2">
        <v>14</v>
      </c>
      <c r="I12" s="2">
        <v>14</v>
      </c>
      <c r="J12" s="2">
        <v>5.21</v>
      </c>
      <c r="K12" s="2">
        <v>1.47</v>
      </c>
      <c r="L12" s="2">
        <v>183</v>
      </c>
      <c r="M12" s="2">
        <v>36</v>
      </c>
      <c r="N12" s="2">
        <v>51</v>
      </c>
      <c r="O12" s="13">
        <v>4.43</v>
      </c>
      <c r="P12" s="11">
        <v>1.4</v>
      </c>
      <c r="Q12" s="5">
        <v>0</v>
      </c>
      <c r="R12" t="b">
        <f t="shared" si="0"/>
        <v>0</v>
      </c>
      <c r="T12" s="2" t="s">
        <v>90</v>
      </c>
      <c r="U12" s="7" t="s">
        <v>89</v>
      </c>
      <c r="V12" s="7">
        <v>2014</v>
      </c>
      <c r="W12" s="2" t="s">
        <v>45</v>
      </c>
      <c r="X12" s="2" t="s">
        <v>39</v>
      </c>
      <c r="Y12" s="2">
        <v>0.3</v>
      </c>
      <c r="Z12" s="2">
        <v>77</v>
      </c>
      <c r="AA12" s="2">
        <v>14</v>
      </c>
      <c r="AB12" s="2">
        <v>14</v>
      </c>
      <c r="AC12" s="2">
        <v>5.21</v>
      </c>
      <c r="AD12" s="2">
        <v>1.47</v>
      </c>
      <c r="AE12" s="2">
        <v>183</v>
      </c>
      <c r="AF12" s="2">
        <v>36</v>
      </c>
      <c r="AG12" s="2">
        <v>51</v>
      </c>
      <c r="AH12" s="13">
        <v>4.43</v>
      </c>
      <c r="AI12" s="11">
        <v>1.4</v>
      </c>
      <c r="AJ12" s="5">
        <v>0</v>
      </c>
      <c r="AK12" s="5">
        <v>0</v>
      </c>
    </row>
    <row r="13" spans="1:37" ht="21" hidden="1" customHeight="1">
      <c r="A13" s="2" t="s">
        <v>93</v>
      </c>
      <c r="B13" s="7" t="s">
        <v>92</v>
      </c>
      <c r="C13" s="7">
        <v>2014</v>
      </c>
      <c r="D13" s="2" t="s">
        <v>38</v>
      </c>
      <c r="E13" s="2" t="s">
        <v>39</v>
      </c>
      <c r="F13" s="2">
        <v>2.2000000000000002</v>
      </c>
      <c r="G13" s="2">
        <v>67</v>
      </c>
      <c r="H13" s="2">
        <v>16</v>
      </c>
      <c r="I13" s="2">
        <v>18</v>
      </c>
      <c r="J13" s="2">
        <v>4.1100000000000003</v>
      </c>
      <c r="K13" s="2">
        <v>1.39</v>
      </c>
      <c r="L13" s="2">
        <v>147</v>
      </c>
      <c r="M13" s="2">
        <v>8</v>
      </c>
      <c r="N13" s="2">
        <v>25</v>
      </c>
      <c r="O13" s="13">
        <v>5.55</v>
      </c>
      <c r="P13" s="11">
        <v>1.63</v>
      </c>
      <c r="Q13" s="5">
        <v>0</v>
      </c>
      <c r="R13" t="b">
        <f t="shared" si="0"/>
        <v>0</v>
      </c>
      <c r="T13" s="2" t="s">
        <v>93</v>
      </c>
      <c r="U13" s="7" t="s">
        <v>92</v>
      </c>
      <c r="V13" s="7">
        <v>2014</v>
      </c>
      <c r="W13" s="2" t="s">
        <v>38</v>
      </c>
      <c r="X13" s="2" t="s">
        <v>39</v>
      </c>
      <c r="Y13" s="2">
        <v>2.2000000000000002</v>
      </c>
      <c r="Z13" s="2">
        <v>67</v>
      </c>
      <c r="AA13" s="2">
        <v>16</v>
      </c>
      <c r="AB13" s="2">
        <v>18</v>
      </c>
      <c r="AC13" s="2">
        <v>4.1100000000000003</v>
      </c>
      <c r="AD13" s="2">
        <v>1.39</v>
      </c>
      <c r="AE13" s="2">
        <v>147</v>
      </c>
      <c r="AF13" s="2">
        <v>8</v>
      </c>
      <c r="AG13" s="2">
        <v>25</v>
      </c>
      <c r="AH13" s="13">
        <v>5.55</v>
      </c>
      <c r="AI13" s="11">
        <v>1.63</v>
      </c>
      <c r="AJ13" s="5">
        <v>0</v>
      </c>
      <c r="AK13" s="5">
        <v>0</v>
      </c>
    </row>
    <row r="14" spans="1:37" ht="21" customHeight="1">
      <c r="A14" s="2" t="s">
        <v>96</v>
      </c>
      <c r="B14" s="7" t="s">
        <v>95</v>
      </c>
      <c r="C14" s="5">
        <v>2014</v>
      </c>
      <c r="D14" s="2" t="s">
        <v>45</v>
      </c>
      <c r="E14" s="2" t="s">
        <v>39</v>
      </c>
      <c r="F14" s="2">
        <v>3.7</v>
      </c>
      <c r="G14" s="2">
        <v>120</v>
      </c>
      <c r="H14" s="2">
        <v>27</v>
      </c>
      <c r="I14" s="2">
        <v>36</v>
      </c>
      <c r="J14" s="2">
        <v>4.9800000000000004</v>
      </c>
      <c r="K14" s="2">
        <v>1.45</v>
      </c>
      <c r="L14" s="2">
        <v>89</v>
      </c>
      <c r="M14" s="2">
        <v>23</v>
      </c>
      <c r="N14" s="2">
        <v>19</v>
      </c>
      <c r="O14" s="13">
        <v>3.69</v>
      </c>
      <c r="P14" s="11">
        <v>1.25</v>
      </c>
      <c r="Q14" s="5">
        <v>0</v>
      </c>
      <c r="R14" t="b">
        <f t="shared" si="0"/>
        <v>0</v>
      </c>
      <c r="T14" s="2" t="s">
        <v>96</v>
      </c>
      <c r="U14" s="7" t="s">
        <v>95</v>
      </c>
      <c r="V14" s="5">
        <v>2014</v>
      </c>
      <c r="W14" s="2" t="s">
        <v>45</v>
      </c>
      <c r="X14" s="2" t="s">
        <v>39</v>
      </c>
      <c r="Y14" s="2">
        <v>3.7</v>
      </c>
      <c r="Z14" s="2">
        <v>120</v>
      </c>
      <c r="AA14" s="2">
        <v>27</v>
      </c>
      <c r="AB14" s="2">
        <v>36</v>
      </c>
      <c r="AC14" s="2">
        <v>4.9800000000000004</v>
      </c>
      <c r="AD14" s="2">
        <v>1.45</v>
      </c>
      <c r="AE14" s="2">
        <v>89</v>
      </c>
      <c r="AF14" s="2">
        <v>23</v>
      </c>
      <c r="AG14" s="2">
        <v>19</v>
      </c>
      <c r="AH14" s="13">
        <v>3.69</v>
      </c>
      <c r="AI14" s="11">
        <v>1.25</v>
      </c>
      <c r="AJ14" s="5">
        <v>0</v>
      </c>
      <c r="AK14" s="5">
        <v>0</v>
      </c>
    </row>
    <row r="15" spans="1:37" ht="21" customHeight="1">
      <c r="A15" s="2" t="s">
        <v>99</v>
      </c>
      <c r="B15" s="7" t="s">
        <v>98</v>
      </c>
      <c r="C15" s="7">
        <v>2014</v>
      </c>
      <c r="D15" s="2" t="s">
        <v>45</v>
      </c>
      <c r="E15" s="2" t="s">
        <v>39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173</v>
      </c>
      <c r="M15" s="2">
        <v>11</v>
      </c>
      <c r="N15" s="2">
        <v>12</v>
      </c>
      <c r="O15" s="13">
        <v>5.5</v>
      </c>
      <c r="P15" s="11">
        <v>1.84</v>
      </c>
      <c r="Q15" s="5">
        <v>0</v>
      </c>
      <c r="R15" t="b">
        <f t="shared" si="0"/>
        <v>0</v>
      </c>
      <c r="T15" s="2" t="s">
        <v>99</v>
      </c>
      <c r="U15" s="7" t="s">
        <v>98</v>
      </c>
      <c r="V15" s="7">
        <v>2014</v>
      </c>
      <c r="W15" s="2" t="s">
        <v>45</v>
      </c>
      <c r="X15" s="2" t="s">
        <v>39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173</v>
      </c>
      <c r="AF15" s="2">
        <v>11</v>
      </c>
      <c r="AG15" s="2">
        <v>12</v>
      </c>
      <c r="AH15" s="13">
        <v>5.5</v>
      </c>
      <c r="AI15" s="11">
        <v>1.84</v>
      </c>
      <c r="AJ15" s="5">
        <v>0</v>
      </c>
      <c r="AK15" s="5">
        <v>0</v>
      </c>
    </row>
    <row r="16" spans="1:37" ht="21" customHeight="1">
      <c r="A16" s="2" t="s">
        <v>109</v>
      </c>
      <c r="B16" s="7" t="s">
        <v>108</v>
      </c>
      <c r="C16" s="7">
        <v>2014</v>
      </c>
      <c r="D16" s="2" t="s">
        <v>45</v>
      </c>
      <c r="E16" s="2" t="s">
        <v>39</v>
      </c>
      <c r="F16" s="2">
        <v>0.3</v>
      </c>
      <c r="G16" s="2">
        <v>6</v>
      </c>
      <c r="H16" s="2">
        <v>0</v>
      </c>
      <c r="I16" s="2">
        <v>0</v>
      </c>
      <c r="J16" s="2">
        <v>1.42</v>
      </c>
      <c r="K16" s="2">
        <v>0.87</v>
      </c>
      <c r="L16" s="2">
        <v>250</v>
      </c>
      <c r="M16" s="2">
        <v>48</v>
      </c>
      <c r="N16" s="2">
        <v>41</v>
      </c>
      <c r="O16" s="13">
        <v>4.47</v>
      </c>
      <c r="P16" s="11">
        <v>1.43</v>
      </c>
      <c r="Q16" s="5">
        <v>0</v>
      </c>
      <c r="R16" t="b">
        <f t="shared" si="0"/>
        <v>0</v>
      </c>
      <c r="T16" s="2" t="s">
        <v>109</v>
      </c>
      <c r="U16" s="7" t="s">
        <v>108</v>
      </c>
      <c r="V16" s="7">
        <v>2014</v>
      </c>
      <c r="W16" s="2" t="s">
        <v>45</v>
      </c>
      <c r="X16" s="2" t="s">
        <v>39</v>
      </c>
      <c r="Y16" s="2">
        <v>0.3</v>
      </c>
      <c r="Z16" s="2">
        <v>6</v>
      </c>
      <c r="AA16" s="2">
        <v>0</v>
      </c>
      <c r="AB16" s="2">
        <v>0</v>
      </c>
      <c r="AC16" s="2">
        <v>1.42</v>
      </c>
      <c r="AD16" s="2">
        <v>0.87</v>
      </c>
      <c r="AE16" s="2">
        <v>250</v>
      </c>
      <c r="AF16" s="2">
        <v>48</v>
      </c>
      <c r="AG16" s="2">
        <v>41</v>
      </c>
      <c r="AH16" s="13">
        <v>4.47</v>
      </c>
      <c r="AI16" s="11">
        <v>1.43</v>
      </c>
      <c r="AJ16" s="5">
        <v>0</v>
      </c>
      <c r="AK16" s="5">
        <v>0</v>
      </c>
    </row>
    <row r="17" spans="1:40" ht="21" customHeight="1">
      <c r="A17" s="2" t="s">
        <v>125</v>
      </c>
      <c r="B17" s="7" t="s">
        <v>124</v>
      </c>
      <c r="C17" s="5">
        <v>2014</v>
      </c>
      <c r="D17" s="2" t="s">
        <v>45</v>
      </c>
      <c r="E17" s="2" t="s">
        <v>39</v>
      </c>
      <c r="F17" s="2">
        <v>1.9</v>
      </c>
      <c r="G17" s="2">
        <v>175</v>
      </c>
      <c r="H17" s="2">
        <v>31</v>
      </c>
      <c r="I17" s="2">
        <v>43</v>
      </c>
      <c r="J17" s="2">
        <v>4.95</v>
      </c>
      <c r="K17" s="2">
        <v>1.39</v>
      </c>
      <c r="L17" s="2">
        <v>61</v>
      </c>
      <c r="M17" s="2">
        <v>25</v>
      </c>
      <c r="N17" s="2">
        <v>11</v>
      </c>
      <c r="O17" s="13">
        <v>2.13</v>
      </c>
      <c r="P17" s="11">
        <v>1.07</v>
      </c>
      <c r="Q17" s="5">
        <v>0</v>
      </c>
      <c r="R17" t="b">
        <f t="shared" si="0"/>
        <v>0</v>
      </c>
      <c r="T17" s="2" t="s">
        <v>125</v>
      </c>
      <c r="U17" s="7" t="s">
        <v>124</v>
      </c>
      <c r="V17" s="5">
        <v>2014</v>
      </c>
      <c r="W17" s="2" t="s">
        <v>45</v>
      </c>
      <c r="X17" s="2" t="s">
        <v>39</v>
      </c>
      <c r="Y17" s="2">
        <v>1.9</v>
      </c>
      <c r="Z17" s="2">
        <v>175</v>
      </c>
      <c r="AA17" s="2">
        <v>31</v>
      </c>
      <c r="AB17" s="2">
        <v>43</v>
      </c>
      <c r="AC17" s="2">
        <v>4.95</v>
      </c>
      <c r="AD17" s="2">
        <v>1.39</v>
      </c>
      <c r="AE17" s="2">
        <v>61</v>
      </c>
      <c r="AF17" s="2">
        <v>25</v>
      </c>
      <c r="AG17" s="2">
        <v>11</v>
      </c>
      <c r="AH17" s="13">
        <v>2.13</v>
      </c>
      <c r="AI17" s="11">
        <v>1.07</v>
      </c>
      <c r="AJ17" s="5">
        <v>0</v>
      </c>
      <c r="AK17" s="5">
        <v>0</v>
      </c>
    </row>
    <row r="18" spans="1:40" ht="21" hidden="1" customHeight="1">
      <c r="A18" s="2" t="s">
        <v>127</v>
      </c>
      <c r="B18" s="7" t="s">
        <v>92</v>
      </c>
      <c r="C18" s="7">
        <v>2014</v>
      </c>
      <c r="D18" s="2" t="s">
        <v>38</v>
      </c>
      <c r="E18" s="2" t="s">
        <v>39</v>
      </c>
      <c r="F18" s="2">
        <v>-0.1</v>
      </c>
      <c r="G18" s="2">
        <v>7</v>
      </c>
      <c r="H18" s="2">
        <v>1</v>
      </c>
      <c r="I18" s="2">
        <v>0</v>
      </c>
      <c r="J18" s="2">
        <v>6.75</v>
      </c>
      <c r="K18" s="2">
        <v>1.5</v>
      </c>
      <c r="L18" s="2">
        <v>193</v>
      </c>
      <c r="M18" s="2">
        <v>49</v>
      </c>
      <c r="N18" s="2">
        <v>49</v>
      </c>
      <c r="O18" s="13">
        <v>4.54</v>
      </c>
      <c r="P18" s="11">
        <v>1.44</v>
      </c>
      <c r="Q18" s="5">
        <v>0</v>
      </c>
      <c r="R18" t="b">
        <f t="shared" si="0"/>
        <v>0</v>
      </c>
      <c r="T18" s="2" t="s">
        <v>127</v>
      </c>
      <c r="U18" s="7" t="s">
        <v>92</v>
      </c>
      <c r="V18" s="7">
        <v>2014</v>
      </c>
      <c r="W18" s="2" t="s">
        <v>38</v>
      </c>
      <c r="X18" s="2" t="s">
        <v>39</v>
      </c>
      <c r="Y18" s="2">
        <v>-0.1</v>
      </c>
      <c r="Z18" s="2">
        <v>7</v>
      </c>
      <c r="AA18" s="2">
        <v>1</v>
      </c>
      <c r="AB18" s="2">
        <v>0</v>
      </c>
      <c r="AC18" s="2">
        <v>6.75</v>
      </c>
      <c r="AD18" s="2">
        <v>1.5</v>
      </c>
      <c r="AE18" s="2">
        <v>193</v>
      </c>
      <c r="AF18" s="2">
        <v>49</v>
      </c>
      <c r="AG18" s="2">
        <v>49</v>
      </c>
      <c r="AH18" s="13">
        <v>4.54</v>
      </c>
      <c r="AI18" s="11">
        <v>1.44</v>
      </c>
      <c r="AJ18" s="5">
        <v>0</v>
      </c>
      <c r="AK18" s="5">
        <v>0</v>
      </c>
    </row>
    <row r="19" spans="1:40" ht="21" customHeight="1">
      <c r="A19" s="2" t="s">
        <v>132</v>
      </c>
      <c r="B19" s="7" t="s">
        <v>131</v>
      </c>
      <c r="C19" s="7">
        <v>2014</v>
      </c>
      <c r="D19" s="2" t="s">
        <v>45</v>
      </c>
      <c r="E19" s="2" t="s">
        <v>39</v>
      </c>
      <c r="F19" s="2">
        <v>0</v>
      </c>
      <c r="G19" s="2">
        <v>24</v>
      </c>
      <c r="H19" s="2">
        <v>0</v>
      </c>
      <c r="I19" s="2">
        <v>2</v>
      </c>
      <c r="J19" s="2">
        <v>4.76</v>
      </c>
      <c r="K19" s="2">
        <v>1.71</v>
      </c>
      <c r="L19" s="2">
        <v>62</v>
      </c>
      <c r="M19" s="2">
        <v>5</v>
      </c>
      <c r="N19" s="2">
        <v>16</v>
      </c>
      <c r="O19" s="13">
        <v>6.28</v>
      </c>
      <c r="P19" s="11">
        <v>1.83</v>
      </c>
      <c r="Q19" s="5">
        <v>0</v>
      </c>
      <c r="R19" t="b">
        <f t="shared" si="0"/>
        <v>0</v>
      </c>
      <c r="T19" s="2" t="s">
        <v>132</v>
      </c>
      <c r="U19" s="7" t="s">
        <v>131</v>
      </c>
      <c r="V19" s="7">
        <v>2014</v>
      </c>
      <c r="W19" s="2" t="s">
        <v>45</v>
      </c>
      <c r="X19" s="2" t="s">
        <v>39</v>
      </c>
      <c r="Y19" s="2">
        <v>0</v>
      </c>
      <c r="Z19" s="2">
        <v>24</v>
      </c>
      <c r="AA19" s="2">
        <v>0</v>
      </c>
      <c r="AB19" s="2">
        <v>2</v>
      </c>
      <c r="AC19" s="2">
        <v>4.76</v>
      </c>
      <c r="AD19" s="2">
        <v>1.71</v>
      </c>
      <c r="AE19" s="2">
        <v>62</v>
      </c>
      <c r="AF19" s="2">
        <v>5</v>
      </c>
      <c r="AG19" s="2">
        <v>16</v>
      </c>
      <c r="AH19" s="13">
        <v>6.28</v>
      </c>
      <c r="AI19" s="11">
        <v>1.83</v>
      </c>
      <c r="AJ19" s="5">
        <v>0</v>
      </c>
      <c r="AK19" s="5">
        <v>0</v>
      </c>
    </row>
    <row r="20" spans="1:40" ht="21" hidden="1" customHeight="1">
      <c r="A20" s="2" t="s">
        <v>134</v>
      </c>
      <c r="B20" s="7" t="s">
        <v>105</v>
      </c>
      <c r="C20" s="5">
        <v>2014</v>
      </c>
      <c r="D20" s="2" t="s">
        <v>38</v>
      </c>
      <c r="E20" s="2" t="s">
        <v>39</v>
      </c>
      <c r="F20" s="2">
        <v>-0.9</v>
      </c>
      <c r="G20" s="2">
        <v>48</v>
      </c>
      <c r="H20" s="2">
        <v>12</v>
      </c>
      <c r="I20" s="2">
        <v>12</v>
      </c>
      <c r="J20" s="2">
        <v>5.47</v>
      </c>
      <c r="K20" s="2">
        <v>1.63</v>
      </c>
      <c r="L20" s="2">
        <v>186</v>
      </c>
      <c r="M20" s="2">
        <v>52</v>
      </c>
      <c r="N20" s="2">
        <v>49</v>
      </c>
      <c r="O20" s="13">
        <v>4.2</v>
      </c>
      <c r="P20" s="11">
        <v>1.63</v>
      </c>
      <c r="Q20" s="5">
        <v>0</v>
      </c>
      <c r="R20" t="b">
        <f t="shared" si="0"/>
        <v>0</v>
      </c>
      <c r="T20" s="2" t="s">
        <v>134</v>
      </c>
      <c r="U20" s="7" t="s">
        <v>105</v>
      </c>
      <c r="V20" s="5">
        <v>2014</v>
      </c>
      <c r="W20" s="2" t="s">
        <v>38</v>
      </c>
      <c r="X20" s="2" t="s">
        <v>39</v>
      </c>
      <c r="Y20" s="2">
        <v>-0.9</v>
      </c>
      <c r="Z20" s="2">
        <v>48</v>
      </c>
      <c r="AA20" s="2">
        <v>12</v>
      </c>
      <c r="AB20" s="2">
        <v>12</v>
      </c>
      <c r="AC20" s="2">
        <v>5.47</v>
      </c>
      <c r="AD20" s="2">
        <v>1.63</v>
      </c>
      <c r="AE20" s="2">
        <v>186</v>
      </c>
      <c r="AF20" s="2">
        <v>52</v>
      </c>
      <c r="AG20" s="2">
        <v>49</v>
      </c>
      <c r="AH20" s="13">
        <v>4.2</v>
      </c>
      <c r="AI20" s="11">
        <v>1.63</v>
      </c>
      <c r="AJ20" s="5">
        <v>0</v>
      </c>
      <c r="AK20" s="5">
        <v>0</v>
      </c>
    </row>
    <row r="21" spans="1:40" ht="21" customHeight="1">
      <c r="A21" s="2" t="s">
        <v>139</v>
      </c>
      <c r="B21" s="7" t="s">
        <v>121</v>
      </c>
      <c r="C21" s="7">
        <v>2014</v>
      </c>
      <c r="D21" s="2" t="s">
        <v>45</v>
      </c>
      <c r="E21" s="2" t="s">
        <v>39</v>
      </c>
      <c r="F21" s="2">
        <v>4.9000000000000004</v>
      </c>
      <c r="G21" s="2">
        <v>139</v>
      </c>
      <c r="H21" s="2">
        <v>17</v>
      </c>
      <c r="I21" s="2">
        <v>32</v>
      </c>
      <c r="J21" s="2">
        <v>4.3499999999999996</v>
      </c>
      <c r="K21" s="2">
        <v>1.35</v>
      </c>
      <c r="L21" s="2">
        <v>77</v>
      </c>
      <c r="M21" s="2">
        <v>24</v>
      </c>
      <c r="N21" s="2">
        <v>21</v>
      </c>
      <c r="O21" s="13">
        <v>2.99</v>
      </c>
      <c r="P21" s="11">
        <v>1.2</v>
      </c>
      <c r="Q21" s="5">
        <v>0</v>
      </c>
      <c r="R21" t="b">
        <f t="shared" si="0"/>
        <v>1</v>
      </c>
      <c r="T21" s="2" t="s">
        <v>139</v>
      </c>
      <c r="U21" s="7" t="s">
        <v>121</v>
      </c>
      <c r="V21" s="7">
        <v>2014</v>
      </c>
      <c r="W21" s="2" t="s">
        <v>45</v>
      </c>
      <c r="X21" s="2" t="s">
        <v>39</v>
      </c>
      <c r="Y21" s="2">
        <v>4.9000000000000004</v>
      </c>
      <c r="Z21" s="2">
        <v>139</v>
      </c>
      <c r="AA21" s="2">
        <v>17</v>
      </c>
      <c r="AB21" s="2">
        <v>32</v>
      </c>
      <c r="AC21" s="2">
        <v>4.3499999999999996</v>
      </c>
      <c r="AD21" s="2">
        <v>1.35</v>
      </c>
      <c r="AE21" s="2">
        <v>77</v>
      </c>
      <c r="AF21" s="2">
        <v>24</v>
      </c>
      <c r="AG21" s="2">
        <v>21</v>
      </c>
      <c r="AH21" s="13">
        <v>2.99</v>
      </c>
      <c r="AI21" s="11">
        <v>1.2</v>
      </c>
      <c r="AJ21" s="5">
        <v>0</v>
      </c>
      <c r="AK21" s="5">
        <v>1</v>
      </c>
    </row>
    <row r="22" spans="1:40" ht="21" customHeight="1">
      <c r="A22" s="2" t="s">
        <v>141</v>
      </c>
      <c r="B22" s="7" t="s">
        <v>124</v>
      </c>
      <c r="C22" s="7">
        <v>2014</v>
      </c>
      <c r="D22" s="2" t="s">
        <v>45</v>
      </c>
      <c r="E22" s="2" t="s">
        <v>39</v>
      </c>
      <c r="F22" s="2">
        <v>12.3</v>
      </c>
      <c r="G22" s="2">
        <v>146</v>
      </c>
      <c r="H22" s="2">
        <v>47</v>
      </c>
      <c r="I22" s="2">
        <v>39</v>
      </c>
      <c r="J22" s="2">
        <v>3.69</v>
      </c>
      <c r="K22" s="2">
        <v>1.19</v>
      </c>
      <c r="L22" s="2">
        <v>90</v>
      </c>
      <c r="M22" s="2">
        <v>34</v>
      </c>
      <c r="N22" s="2">
        <v>20</v>
      </c>
      <c r="O22" s="13">
        <v>2.79</v>
      </c>
      <c r="P22" s="11">
        <v>1.1599999999999999</v>
      </c>
      <c r="Q22" s="5">
        <v>1</v>
      </c>
      <c r="R22" t="b">
        <f t="shared" si="0"/>
        <v>1</v>
      </c>
      <c r="T22" s="2" t="s">
        <v>141</v>
      </c>
      <c r="U22" s="7" t="s">
        <v>124</v>
      </c>
      <c r="V22" s="7">
        <v>2014</v>
      </c>
      <c r="W22" s="2" t="s">
        <v>45</v>
      </c>
      <c r="X22" s="2" t="s">
        <v>39</v>
      </c>
      <c r="Y22" s="2">
        <v>12.3</v>
      </c>
      <c r="Z22" s="2">
        <v>146</v>
      </c>
      <c r="AA22" s="2">
        <v>47</v>
      </c>
      <c r="AB22" s="2">
        <v>39</v>
      </c>
      <c r="AC22" s="2">
        <v>3.69</v>
      </c>
      <c r="AD22" s="2">
        <v>1.19</v>
      </c>
      <c r="AE22" s="2">
        <v>90</v>
      </c>
      <c r="AF22" s="2">
        <v>34</v>
      </c>
      <c r="AG22" s="2">
        <v>20</v>
      </c>
      <c r="AH22" s="13">
        <v>2.79</v>
      </c>
      <c r="AI22" s="11">
        <v>1.1599999999999999</v>
      </c>
      <c r="AJ22" s="5">
        <v>1</v>
      </c>
      <c r="AK22" s="5">
        <v>1</v>
      </c>
    </row>
    <row r="23" spans="1:40" ht="27" hidden="1" customHeight="1">
      <c r="A23" s="2" t="s">
        <v>163</v>
      </c>
      <c r="B23" s="7" t="s">
        <v>98</v>
      </c>
      <c r="C23" s="7">
        <v>2019</v>
      </c>
      <c r="D23" s="2" t="s">
        <v>38</v>
      </c>
      <c r="E23" s="2" t="s">
        <v>39</v>
      </c>
      <c r="F23" s="2">
        <v>4.2</v>
      </c>
      <c r="G23" s="2">
        <v>43</v>
      </c>
      <c r="H23" s="32">
        <v>14</v>
      </c>
      <c r="I23" s="2">
        <v>12</v>
      </c>
      <c r="J23" s="2">
        <v>4.18</v>
      </c>
      <c r="K23" s="2">
        <v>1.28</v>
      </c>
      <c r="L23" s="5">
        <v>30</v>
      </c>
      <c r="M23" s="5">
        <v>2</v>
      </c>
      <c r="N23" s="5">
        <v>5</v>
      </c>
      <c r="O23" s="17">
        <v>2.7</v>
      </c>
      <c r="P23" s="5">
        <v>1.0900000000000001</v>
      </c>
      <c r="Q23" s="5">
        <v>0</v>
      </c>
      <c r="R23" t="b">
        <f t="shared" si="0"/>
        <v>1</v>
      </c>
      <c r="S23" s="42"/>
      <c r="T23" s="2" t="s">
        <v>52</v>
      </c>
      <c r="U23" s="7" t="s">
        <v>51</v>
      </c>
      <c r="V23" s="5">
        <v>2014</v>
      </c>
      <c r="W23" s="2" t="s">
        <v>53</v>
      </c>
      <c r="X23" s="2" t="s">
        <v>54</v>
      </c>
      <c r="Y23" s="2">
        <v>13.7</v>
      </c>
      <c r="Z23" s="2">
        <v>1058</v>
      </c>
      <c r="AA23" s="2">
        <v>3667</v>
      </c>
      <c r="AB23" s="2">
        <v>263</v>
      </c>
      <c r="AC23" s="2">
        <v>0.22900000000000001</v>
      </c>
      <c r="AD23" s="11">
        <v>0.83</v>
      </c>
      <c r="AE23" s="2">
        <v>158</v>
      </c>
      <c r="AF23" s="2">
        <v>554</v>
      </c>
      <c r="AG23" s="2">
        <v>38</v>
      </c>
      <c r="AH23" s="11">
        <v>0.33666666666666667</v>
      </c>
      <c r="AI23" s="11">
        <v>1.0916666666666668</v>
      </c>
      <c r="AJ23" s="5">
        <v>2</v>
      </c>
      <c r="AK23" s="5">
        <v>1</v>
      </c>
      <c r="AM23" t="s">
        <v>284</v>
      </c>
      <c r="AN23">
        <f>SUM(AK23:AK69)</f>
        <v>14</v>
      </c>
    </row>
    <row r="24" spans="1:40" ht="21" customHeight="1">
      <c r="A24" s="2" t="s">
        <v>167</v>
      </c>
      <c r="B24" s="7" t="s">
        <v>70</v>
      </c>
      <c r="C24" s="7">
        <v>2019</v>
      </c>
      <c r="D24" s="2" t="s">
        <v>45</v>
      </c>
      <c r="E24" s="2" t="s">
        <v>39</v>
      </c>
      <c r="F24" s="2">
        <v>7.5</v>
      </c>
      <c r="G24" s="2">
        <v>75</v>
      </c>
      <c r="H24" s="32">
        <v>29</v>
      </c>
      <c r="I24" s="2">
        <v>20</v>
      </c>
      <c r="J24" s="2">
        <v>3.34</v>
      </c>
      <c r="K24" s="2">
        <v>1.1599999999999999</v>
      </c>
      <c r="L24" s="5">
        <v>16</v>
      </c>
      <c r="M24" s="5">
        <v>3</v>
      </c>
      <c r="N24" s="5">
        <v>4</v>
      </c>
      <c r="O24" s="5">
        <v>5.34</v>
      </c>
      <c r="P24" s="5">
        <v>1.36</v>
      </c>
      <c r="Q24" s="5">
        <v>1</v>
      </c>
      <c r="R24" t="b">
        <f t="shared" si="0"/>
        <v>1</v>
      </c>
      <c r="S24" s="42"/>
      <c r="T24" s="2" t="s">
        <v>57</v>
      </c>
      <c r="U24" s="7" t="s">
        <v>56</v>
      </c>
      <c r="V24" s="5">
        <v>2014</v>
      </c>
      <c r="W24" s="2" t="s">
        <v>58</v>
      </c>
      <c r="X24" s="2" t="s">
        <v>54</v>
      </c>
      <c r="Y24" s="2">
        <v>0.4</v>
      </c>
      <c r="Z24" s="2">
        <v>317</v>
      </c>
      <c r="AA24" s="2">
        <v>903</v>
      </c>
      <c r="AB24" s="2">
        <v>23</v>
      </c>
      <c r="AC24" s="2">
        <v>0.246</v>
      </c>
      <c r="AD24" s="2">
        <v>0.67900000000000005</v>
      </c>
      <c r="AE24" s="2">
        <v>650</v>
      </c>
      <c r="AF24" s="2">
        <v>2623</v>
      </c>
      <c r="AG24" s="2">
        <v>28</v>
      </c>
      <c r="AH24" s="11">
        <v>0.27500000000000002</v>
      </c>
      <c r="AI24" s="11">
        <v>0.71399999999999997</v>
      </c>
      <c r="AJ24" s="5">
        <v>0</v>
      </c>
      <c r="AK24" s="5">
        <v>0</v>
      </c>
    </row>
    <row r="25" spans="1:40" ht="29" customHeight="1">
      <c r="A25" s="2" t="s">
        <v>174</v>
      </c>
      <c r="B25" s="7" t="s">
        <v>95</v>
      </c>
      <c r="C25" s="7">
        <v>2019</v>
      </c>
      <c r="D25" s="2" t="s">
        <v>45</v>
      </c>
      <c r="E25" s="2" t="s">
        <v>39</v>
      </c>
      <c r="F25" s="2">
        <v>-0.1</v>
      </c>
      <c r="G25" s="2">
        <v>6</v>
      </c>
      <c r="H25" s="32">
        <v>1</v>
      </c>
      <c r="I25" s="2">
        <v>1</v>
      </c>
      <c r="J25" s="2">
        <v>6.31</v>
      </c>
      <c r="K25" s="2">
        <v>1.44</v>
      </c>
      <c r="L25" s="5">
        <v>85</v>
      </c>
      <c r="M25" s="5">
        <v>23</v>
      </c>
      <c r="N25" s="5">
        <v>22</v>
      </c>
      <c r="O25" s="5">
        <v>5.08</v>
      </c>
      <c r="P25" s="5">
        <v>1.4</v>
      </c>
      <c r="Q25" s="5">
        <v>0</v>
      </c>
      <c r="R25" t="b">
        <f t="shared" si="0"/>
        <v>0</v>
      </c>
      <c r="S25" s="42"/>
      <c r="T25" s="2" t="s">
        <v>61</v>
      </c>
      <c r="U25" s="7" t="s">
        <v>60</v>
      </c>
      <c r="V25" s="5">
        <v>2014</v>
      </c>
      <c r="W25" s="2" t="s">
        <v>62</v>
      </c>
      <c r="X25" s="2" t="s">
        <v>54</v>
      </c>
      <c r="Y25" s="2">
        <v>-1.7</v>
      </c>
      <c r="Z25" s="2">
        <v>97</v>
      </c>
      <c r="AA25" s="2">
        <v>236</v>
      </c>
      <c r="AB25" s="2">
        <v>4</v>
      </c>
      <c r="AC25" s="2">
        <v>0.11899999999999999</v>
      </c>
      <c r="AD25" s="2">
        <v>0.41099999999999998</v>
      </c>
      <c r="AE25" s="2">
        <v>615</v>
      </c>
      <c r="AF25" s="2">
        <v>2217</v>
      </c>
      <c r="AG25" s="2">
        <v>112</v>
      </c>
      <c r="AH25" s="11">
        <v>0.24299999999999999</v>
      </c>
      <c r="AI25" s="11">
        <v>0.78600000000000003</v>
      </c>
      <c r="AJ25" s="5">
        <v>0</v>
      </c>
      <c r="AK25" s="5">
        <v>0</v>
      </c>
    </row>
    <row r="26" spans="1:40" ht="34" customHeight="1">
      <c r="A26" s="2" t="s">
        <v>175</v>
      </c>
      <c r="B26" s="7" t="s">
        <v>114</v>
      </c>
      <c r="C26" s="7">
        <v>2019</v>
      </c>
      <c r="D26" s="2" t="s">
        <v>45</v>
      </c>
      <c r="E26" s="2" t="s">
        <v>39</v>
      </c>
      <c r="F26" s="2">
        <v>-1.3</v>
      </c>
      <c r="G26" s="2">
        <v>20</v>
      </c>
      <c r="H26" s="32">
        <v>5</v>
      </c>
      <c r="I26" s="2">
        <v>9</v>
      </c>
      <c r="J26" s="2">
        <v>6.46</v>
      </c>
      <c r="K26" s="2">
        <v>1.58</v>
      </c>
      <c r="L26" s="5">
        <v>78</v>
      </c>
      <c r="M26" s="5">
        <v>25</v>
      </c>
      <c r="N26" s="5">
        <v>16</v>
      </c>
      <c r="O26" s="5">
        <v>3.59</v>
      </c>
      <c r="P26" s="5">
        <v>1.26</v>
      </c>
      <c r="Q26" s="5">
        <v>0</v>
      </c>
      <c r="R26" t="b">
        <f t="shared" si="0"/>
        <v>0</v>
      </c>
      <c r="S26" s="42"/>
      <c r="T26" s="2" t="s">
        <v>74</v>
      </c>
      <c r="U26" s="7" t="s">
        <v>73</v>
      </c>
      <c r="V26" s="5">
        <v>2014</v>
      </c>
      <c r="W26" s="2" t="s">
        <v>62</v>
      </c>
      <c r="X26" s="2" t="s">
        <v>54</v>
      </c>
      <c r="Y26" s="2">
        <v>16.600000000000001</v>
      </c>
      <c r="Z26" s="2">
        <v>946</v>
      </c>
      <c r="AA26" s="2">
        <v>3175</v>
      </c>
      <c r="AB26" s="2">
        <v>156</v>
      </c>
      <c r="AC26" s="2">
        <v>0.251</v>
      </c>
      <c r="AD26" s="2">
        <v>0.80500000000000005</v>
      </c>
      <c r="AE26" s="2">
        <v>172</v>
      </c>
      <c r="AF26" s="2">
        <v>668</v>
      </c>
      <c r="AG26" s="2">
        <v>24</v>
      </c>
      <c r="AH26" s="11">
        <v>0.32900000000000001</v>
      </c>
      <c r="AI26" s="11">
        <v>0.91900000000000004</v>
      </c>
      <c r="AJ26" s="5">
        <v>1</v>
      </c>
      <c r="AK26" s="5">
        <v>1</v>
      </c>
    </row>
    <row r="27" spans="1:40" ht="21" customHeight="1">
      <c r="A27" s="2" t="s">
        <v>176</v>
      </c>
      <c r="B27" s="7" t="s">
        <v>124</v>
      </c>
      <c r="C27" s="7">
        <v>2019</v>
      </c>
      <c r="D27" s="2" t="s">
        <v>45</v>
      </c>
      <c r="E27" s="2" t="s">
        <v>39</v>
      </c>
      <c r="F27" s="2">
        <v>0.6</v>
      </c>
      <c r="G27" s="2">
        <v>52</v>
      </c>
      <c r="H27" s="24">
        <v>6</v>
      </c>
      <c r="I27" s="2">
        <v>10</v>
      </c>
      <c r="J27" s="2">
        <v>4.5</v>
      </c>
      <c r="K27" s="2">
        <v>1.36</v>
      </c>
      <c r="L27" s="5">
        <v>78</v>
      </c>
      <c r="M27" s="5">
        <v>7</v>
      </c>
      <c r="N27" s="5">
        <v>19</v>
      </c>
      <c r="O27" s="5">
        <v>5.94</v>
      </c>
      <c r="P27" s="5">
        <v>1.67</v>
      </c>
      <c r="Q27" s="5">
        <v>0</v>
      </c>
      <c r="R27" t="b">
        <f t="shared" si="0"/>
        <v>0</v>
      </c>
      <c r="S27" s="42"/>
      <c r="T27" s="2" t="s">
        <v>76</v>
      </c>
      <c r="U27" s="7" t="s">
        <v>70</v>
      </c>
      <c r="V27" s="5">
        <v>2014</v>
      </c>
      <c r="W27" s="2" t="s">
        <v>53</v>
      </c>
      <c r="X27" s="2" t="s">
        <v>54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260</v>
      </c>
      <c r="AF27" s="5">
        <v>1025</v>
      </c>
      <c r="AG27" s="5">
        <v>29</v>
      </c>
      <c r="AH27" s="12">
        <v>0.28000000000000003</v>
      </c>
      <c r="AI27" s="12">
        <v>0.75800000000000001</v>
      </c>
      <c r="AJ27" s="5">
        <v>0</v>
      </c>
      <c r="AK27" s="5">
        <v>0</v>
      </c>
    </row>
    <row r="28" spans="1:40" ht="21" customHeight="1">
      <c r="A28" s="2" t="s">
        <v>177</v>
      </c>
      <c r="B28" s="7" t="s">
        <v>60</v>
      </c>
      <c r="C28" s="7">
        <v>2019</v>
      </c>
      <c r="D28" s="2" t="s">
        <v>45</v>
      </c>
      <c r="E28" s="2" t="s">
        <v>39</v>
      </c>
      <c r="F28" s="2">
        <v>8.1999999999999993</v>
      </c>
      <c r="G28" s="2">
        <v>79</v>
      </c>
      <c r="H28" s="24">
        <v>29</v>
      </c>
      <c r="I28" s="2">
        <v>22</v>
      </c>
      <c r="J28" s="2">
        <v>3.27</v>
      </c>
      <c r="K28" s="2">
        <v>1.08</v>
      </c>
      <c r="L28" s="5">
        <v>30</v>
      </c>
      <c r="M28" s="5">
        <v>7</v>
      </c>
      <c r="N28" s="5">
        <v>4</v>
      </c>
      <c r="O28" s="5">
        <v>2.61</v>
      </c>
      <c r="P28" s="5">
        <v>1.07</v>
      </c>
      <c r="Q28" s="5">
        <v>1</v>
      </c>
      <c r="R28" t="b">
        <f t="shared" si="0"/>
        <v>1</v>
      </c>
      <c r="S28" s="42"/>
      <c r="T28" s="2" t="s">
        <v>82</v>
      </c>
      <c r="U28" s="7" t="s">
        <v>81</v>
      </c>
      <c r="V28" s="5">
        <v>2014</v>
      </c>
      <c r="W28" s="2" t="s">
        <v>58</v>
      </c>
      <c r="X28" s="2" t="s">
        <v>54</v>
      </c>
      <c r="Y28" s="2">
        <v>35.4</v>
      </c>
      <c r="Z28" s="2">
        <v>1052</v>
      </c>
      <c r="AA28" s="2">
        <v>4266</v>
      </c>
      <c r="AB28" s="2">
        <v>155</v>
      </c>
      <c r="AC28" s="2">
        <v>0.29799999999999999</v>
      </c>
      <c r="AD28" s="2">
        <v>0.83399999999999996</v>
      </c>
      <c r="AE28" s="2">
        <v>277</v>
      </c>
      <c r="AF28" s="2">
        <v>1093</v>
      </c>
      <c r="AG28" s="2">
        <v>19</v>
      </c>
      <c r="AH28" s="11">
        <v>0.31</v>
      </c>
      <c r="AI28" s="11">
        <v>0.82499999999999996</v>
      </c>
      <c r="AJ28" s="5">
        <v>2</v>
      </c>
      <c r="AK28" s="5">
        <v>1</v>
      </c>
    </row>
    <row r="29" spans="1:40" ht="21" customHeight="1">
      <c r="A29" s="2" t="s">
        <v>181</v>
      </c>
      <c r="B29" s="7" t="s">
        <v>105</v>
      </c>
      <c r="C29" s="7">
        <v>2019</v>
      </c>
      <c r="D29" s="2" t="s">
        <v>45</v>
      </c>
      <c r="E29" s="2" t="s">
        <v>39</v>
      </c>
      <c r="F29" s="2">
        <v>0</v>
      </c>
      <c r="G29" s="2">
        <v>0</v>
      </c>
      <c r="H29" s="23">
        <v>0</v>
      </c>
      <c r="I29" s="2">
        <v>0</v>
      </c>
      <c r="J29" s="23">
        <v>0</v>
      </c>
      <c r="K29" s="2">
        <v>0</v>
      </c>
      <c r="L29" s="5">
        <v>33</v>
      </c>
      <c r="M29" s="5">
        <v>4</v>
      </c>
      <c r="N29" s="5">
        <v>11</v>
      </c>
      <c r="O29" s="5">
        <v>3.57</v>
      </c>
      <c r="P29" s="5">
        <v>1.06</v>
      </c>
      <c r="Q29" s="5">
        <v>0</v>
      </c>
      <c r="R29" t="b">
        <f t="shared" si="0"/>
        <v>0</v>
      </c>
      <c r="S29" s="42"/>
      <c r="T29" s="2" t="s">
        <v>102</v>
      </c>
      <c r="U29" s="7" t="s">
        <v>101</v>
      </c>
      <c r="V29" s="5">
        <v>2014</v>
      </c>
      <c r="W29" s="2" t="s">
        <v>103</v>
      </c>
      <c r="X29" s="2" t="s">
        <v>54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478</v>
      </c>
      <c r="AF29" s="2">
        <v>1729</v>
      </c>
      <c r="AG29" s="2">
        <v>60</v>
      </c>
      <c r="AH29" s="11">
        <v>0.25</v>
      </c>
      <c r="AI29" s="11">
        <v>0.755</v>
      </c>
      <c r="AJ29" s="5">
        <v>0</v>
      </c>
      <c r="AK29" s="5">
        <v>0</v>
      </c>
    </row>
    <row r="30" spans="1:40" ht="21" hidden="1" customHeight="1">
      <c r="A30" s="2" t="s">
        <v>183</v>
      </c>
      <c r="B30" s="7" t="s">
        <v>89</v>
      </c>
      <c r="C30" s="7">
        <v>2019</v>
      </c>
      <c r="D30" s="2" t="s">
        <v>38</v>
      </c>
      <c r="E30" s="2" t="s">
        <v>39</v>
      </c>
      <c r="F30" s="2">
        <v>0.3</v>
      </c>
      <c r="G30" s="2">
        <v>3</v>
      </c>
      <c r="H30" s="24">
        <v>0</v>
      </c>
      <c r="I30" s="2">
        <v>0</v>
      </c>
      <c r="J30" s="2">
        <v>2.84</v>
      </c>
      <c r="K30" s="2">
        <v>1.42</v>
      </c>
      <c r="L30" s="5">
        <v>88</v>
      </c>
      <c r="M30" s="5">
        <v>27</v>
      </c>
      <c r="N30" s="5">
        <v>15</v>
      </c>
      <c r="O30" s="5">
        <v>4.37</v>
      </c>
      <c r="P30" s="5">
        <v>1.44</v>
      </c>
      <c r="Q30" s="5">
        <v>0</v>
      </c>
      <c r="R30" t="b">
        <f t="shared" si="0"/>
        <v>0</v>
      </c>
      <c r="S30" s="42"/>
      <c r="T30" s="2" t="s">
        <v>106</v>
      </c>
      <c r="U30" s="7" t="s">
        <v>105</v>
      </c>
      <c r="V30" s="5">
        <v>2014</v>
      </c>
      <c r="W30" s="2" t="s">
        <v>62</v>
      </c>
      <c r="X30" s="2" t="s">
        <v>54</v>
      </c>
      <c r="Y30" s="2">
        <v>2.9</v>
      </c>
      <c r="Z30" s="2">
        <v>372</v>
      </c>
      <c r="AA30" s="2">
        <v>859</v>
      </c>
      <c r="AB30" s="2">
        <v>21</v>
      </c>
      <c r="AC30" s="2">
        <v>0.21299999999999999</v>
      </c>
      <c r="AD30" s="2">
        <v>0.63100000000000001</v>
      </c>
      <c r="AE30" s="2">
        <v>461</v>
      </c>
      <c r="AF30" s="2">
        <v>1651</v>
      </c>
      <c r="AG30" s="2">
        <v>55</v>
      </c>
      <c r="AH30" s="11">
        <v>0.26100000000000001</v>
      </c>
      <c r="AI30" s="11">
        <v>0.80100000000000005</v>
      </c>
      <c r="AJ30" s="5">
        <v>0</v>
      </c>
      <c r="AK30" s="5">
        <v>0</v>
      </c>
    </row>
    <row r="31" spans="1:40" ht="21" customHeight="1">
      <c r="A31" s="2" t="s">
        <v>184</v>
      </c>
      <c r="B31" s="7" t="s">
        <v>51</v>
      </c>
      <c r="C31" s="7">
        <v>2019</v>
      </c>
      <c r="D31" s="2" t="s">
        <v>45</v>
      </c>
      <c r="E31" s="2" t="s">
        <v>39</v>
      </c>
      <c r="F31" s="2">
        <v>0</v>
      </c>
      <c r="G31" s="2">
        <v>0</v>
      </c>
      <c r="H31" s="23">
        <v>0</v>
      </c>
      <c r="I31" s="2">
        <v>0</v>
      </c>
      <c r="J31" s="2">
        <v>0</v>
      </c>
      <c r="K31" s="2">
        <v>0</v>
      </c>
      <c r="L31" s="5">
        <v>117</v>
      </c>
      <c r="M31" s="5">
        <v>11</v>
      </c>
      <c r="N31" s="5">
        <v>22</v>
      </c>
      <c r="O31" s="5">
        <v>4.21</v>
      </c>
      <c r="P31" s="5">
        <v>1.46</v>
      </c>
      <c r="Q31" s="5">
        <v>0</v>
      </c>
      <c r="R31" t="b">
        <f t="shared" si="0"/>
        <v>0</v>
      </c>
      <c r="S31" s="42"/>
      <c r="T31" s="2" t="s">
        <v>112</v>
      </c>
      <c r="U31" s="7" t="s">
        <v>111</v>
      </c>
      <c r="V31" s="5">
        <v>2014</v>
      </c>
      <c r="W31" s="2" t="s">
        <v>62</v>
      </c>
      <c r="X31" s="2" t="s">
        <v>54</v>
      </c>
      <c r="Y31" s="2">
        <v>-0.3</v>
      </c>
      <c r="Z31" s="2">
        <v>119</v>
      </c>
      <c r="AA31" s="2">
        <v>309</v>
      </c>
      <c r="AB31" s="2">
        <v>7</v>
      </c>
      <c r="AC31" s="2">
        <v>0.23</v>
      </c>
      <c r="AD31" s="2">
        <v>0.61699999999999999</v>
      </c>
      <c r="AE31" s="2">
        <v>712</v>
      </c>
      <c r="AF31" s="2">
        <v>2674</v>
      </c>
      <c r="AG31" s="2">
        <v>53</v>
      </c>
      <c r="AH31" s="11">
        <v>0.26100000000000001</v>
      </c>
      <c r="AI31" s="11">
        <v>0.72399999999999998</v>
      </c>
      <c r="AJ31" s="5">
        <v>0</v>
      </c>
      <c r="AK31" s="5">
        <v>0</v>
      </c>
    </row>
    <row r="32" spans="1:40" ht="21" hidden="1" customHeight="1">
      <c r="A32" s="2" t="s">
        <v>185</v>
      </c>
      <c r="B32" s="7" t="s">
        <v>78</v>
      </c>
      <c r="C32" s="7">
        <v>2019</v>
      </c>
      <c r="D32" s="2" t="s">
        <v>38</v>
      </c>
      <c r="E32" s="2" t="s">
        <v>39</v>
      </c>
      <c r="F32" s="2">
        <v>-0.3</v>
      </c>
      <c r="G32" s="2">
        <v>4</v>
      </c>
      <c r="H32" s="24">
        <v>0</v>
      </c>
      <c r="I32" s="2">
        <v>0</v>
      </c>
      <c r="J32" s="2">
        <v>8.7100000000000009</v>
      </c>
      <c r="K32" s="2">
        <v>2.61</v>
      </c>
      <c r="L32" s="5">
        <v>97</v>
      </c>
      <c r="M32" s="5">
        <v>13</v>
      </c>
      <c r="N32" s="5">
        <v>14</v>
      </c>
      <c r="O32" s="5">
        <v>3.16</v>
      </c>
      <c r="P32" s="5">
        <v>1.25</v>
      </c>
      <c r="Q32" s="5">
        <v>0</v>
      </c>
      <c r="R32" t="b">
        <f t="shared" si="0"/>
        <v>0</v>
      </c>
      <c r="S32" s="42"/>
      <c r="T32" s="2" t="s">
        <v>115</v>
      </c>
      <c r="U32" s="7" t="s">
        <v>114</v>
      </c>
      <c r="V32" s="5">
        <v>2014</v>
      </c>
      <c r="W32" s="2" t="s">
        <v>58</v>
      </c>
      <c r="X32" s="2" t="s">
        <v>54</v>
      </c>
      <c r="Y32" s="2">
        <v>-2.6</v>
      </c>
      <c r="Z32" s="2">
        <v>183</v>
      </c>
      <c r="AA32" s="2">
        <v>494</v>
      </c>
      <c r="AB32" s="2">
        <v>5</v>
      </c>
      <c r="AC32" s="2">
        <v>0.21299999999999999</v>
      </c>
      <c r="AD32" s="2">
        <v>0.58199999999999996</v>
      </c>
      <c r="AE32" s="2">
        <v>715</v>
      </c>
      <c r="AF32" s="2">
        <v>2777</v>
      </c>
      <c r="AG32" s="2">
        <v>40</v>
      </c>
      <c r="AH32" s="11">
        <v>0.26100000000000001</v>
      </c>
      <c r="AI32" s="11">
        <v>0.71599999999999997</v>
      </c>
      <c r="AJ32" s="5">
        <v>0</v>
      </c>
      <c r="AK32" s="5">
        <v>0</v>
      </c>
    </row>
    <row r="33" spans="1:37" ht="21" customHeight="1">
      <c r="A33" s="2" t="s">
        <v>191</v>
      </c>
      <c r="B33" s="7" t="s">
        <v>89</v>
      </c>
      <c r="C33" s="7">
        <v>2019</v>
      </c>
      <c r="D33" s="2" t="s">
        <v>45</v>
      </c>
      <c r="E33" s="2" t="s">
        <v>39</v>
      </c>
      <c r="F33" s="2">
        <v>0</v>
      </c>
      <c r="G33" s="2">
        <v>0</v>
      </c>
      <c r="H33" s="23">
        <v>0</v>
      </c>
      <c r="I33" s="2">
        <v>0</v>
      </c>
      <c r="J33" s="2">
        <v>0</v>
      </c>
      <c r="K33" s="2">
        <v>0</v>
      </c>
      <c r="L33" s="5">
        <v>29</v>
      </c>
      <c r="M33" s="5">
        <v>2</v>
      </c>
      <c r="N33" s="5">
        <v>4</v>
      </c>
      <c r="O33" s="5">
        <v>4.54</v>
      </c>
      <c r="P33" s="5">
        <v>1.6</v>
      </c>
      <c r="Q33" s="5">
        <v>0</v>
      </c>
      <c r="R33" t="b">
        <f t="shared" si="0"/>
        <v>0</v>
      </c>
      <c r="S33" s="42"/>
      <c r="T33" s="2" t="s">
        <v>118</v>
      </c>
      <c r="U33" s="7" t="s">
        <v>117</v>
      </c>
      <c r="V33" s="5">
        <v>2014</v>
      </c>
      <c r="W33" s="2" t="s">
        <v>119</v>
      </c>
      <c r="X33" s="2" t="s">
        <v>54</v>
      </c>
      <c r="Y33" s="2">
        <v>34.5</v>
      </c>
      <c r="Z33" s="2">
        <v>953</v>
      </c>
      <c r="AA33" s="2">
        <v>3464</v>
      </c>
      <c r="AB33" s="2">
        <v>167</v>
      </c>
      <c r="AC33" s="2">
        <v>0.24099999999999999</v>
      </c>
      <c r="AD33" s="2">
        <v>0.78700000000000003</v>
      </c>
      <c r="AE33" s="2">
        <v>321</v>
      </c>
      <c r="AF33" s="2">
        <v>1211</v>
      </c>
      <c r="AG33" s="2">
        <v>80</v>
      </c>
      <c r="AH33" s="11">
        <v>0.24399999999999999</v>
      </c>
      <c r="AI33" s="11">
        <v>0.84399999999999997</v>
      </c>
      <c r="AJ33" s="5">
        <v>3</v>
      </c>
      <c r="AK33" s="5">
        <v>1</v>
      </c>
    </row>
    <row r="34" spans="1:37" ht="21" customHeight="1">
      <c r="A34" s="2" t="s">
        <v>192</v>
      </c>
      <c r="B34" s="7" t="s">
        <v>89</v>
      </c>
      <c r="C34" s="7">
        <v>2019</v>
      </c>
      <c r="D34" s="2" t="s">
        <v>45</v>
      </c>
      <c r="E34" s="2" t="s">
        <v>39</v>
      </c>
      <c r="F34" s="2">
        <v>2</v>
      </c>
      <c r="G34" s="2">
        <v>19</v>
      </c>
      <c r="H34" s="24">
        <v>6</v>
      </c>
      <c r="I34" s="2">
        <v>1</v>
      </c>
      <c r="J34" s="2">
        <v>2.63</v>
      </c>
      <c r="K34" s="2">
        <v>1.31</v>
      </c>
      <c r="L34" s="5">
        <v>60</v>
      </c>
      <c r="M34" s="5">
        <v>6</v>
      </c>
      <c r="N34" s="5">
        <v>9</v>
      </c>
      <c r="O34" s="5">
        <v>5.34</v>
      </c>
      <c r="P34" s="5">
        <v>1.4</v>
      </c>
      <c r="Q34" s="5">
        <v>0</v>
      </c>
      <c r="R34" t="b">
        <f t="shared" si="0"/>
        <v>0</v>
      </c>
      <c r="S34" s="42"/>
      <c r="T34" s="2" t="s">
        <v>122</v>
      </c>
      <c r="U34" s="7" t="s">
        <v>121</v>
      </c>
      <c r="V34" s="5">
        <v>2014</v>
      </c>
      <c r="W34" s="2" t="s">
        <v>58</v>
      </c>
      <c r="X34" s="2" t="s">
        <v>54</v>
      </c>
      <c r="Y34" s="2">
        <v>0.2</v>
      </c>
      <c r="Z34" s="2">
        <v>357</v>
      </c>
      <c r="AA34" s="2">
        <v>1106</v>
      </c>
      <c r="AB34" s="2">
        <v>42</v>
      </c>
      <c r="AC34" s="2">
        <v>0.23799999999999999</v>
      </c>
      <c r="AD34" s="2">
        <v>0.68500000000000005</v>
      </c>
      <c r="AE34" s="2">
        <v>543</v>
      </c>
      <c r="AF34" s="2">
        <v>2056</v>
      </c>
      <c r="AG34" s="2">
        <v>97</v>
      </c>
      <c r="AH34" s="11">
        <v>0.26100000000000001</v>
      </c>
      <c r="AI34" s="11">
        <v>0.80400000000000005</v>
      </c>
      <c r="AJ34" s="5">
        <v>0</v>
      </c>
      <c r="AK34" s="5">
        <v>0</v>
      </c>
    </row>
    <row r="35" spans="1:37" ht="21" customHeight="1">
      <c r="A35" s="2" t="s">
        <v>194</v>
      </c>
      <c r="B35" s="7" t="s">
        <v>101</v>
      </c>
      <c r="C35" s="7">
        <v>2019</v>
      </c>
      <c r="D35" s="2" t="s">
        <v>45</v>
      </c>
      <c r="E35" s="2" t="s">
        <v>39</v>
      </c>
      <c r="F35" s="2">
        <v>0</v>
      </c>
      <c r="G35" s="2">
        <v>0</v>
      </c>
      <c r="H35" s="23">
        <v>0</v>
      </c>
      <c r="I35" s="2">
        <v>0</v>
      </c>
      <c r="J35" s="2">
        <v>0</v>
      </c>
      <c r="K35" s="2">
        <v>0</v>
      </c>
      <c r="L35" s="5">
        <v>77</v>
      </c>
      <c r="M35" s="5">
        <v>14</v>
      </c>
      <c r="N35" s="5">
        <v>4</v>
      </c>
      <c r="O35" s="5">
        <v>4.5199999999999996</v>
      </c>
      <c r="P35" s="5">
        <v>1.29</v>
      </c>
      <c r="Q35" s="5">
        <v>0</v>
      </c>
      <c r="R35" t="b">
        <f t="shared" si="0"/>
        <v>0</v>
      </c>
      <c r="S35" s="42"/>
      <c r="T35" s="2" t="s">
        <v>129</v>
      </c>
      <c r="U35" s="7" t="s">
        <v>98</v>
      </c>
      <c r="V35" s="5">
        <v>2014</v>
      </c>
      <c r="W35" s="2" t="s">
        <v>58</v>
      </c>
      <c r="X35" s="2" t="s">
        <v>54</v>
      </c>
      <c r="Y35" s="2">
        <v>-0.2</v>
      </c>
      <c r="Z35" s="2">
        <v>135</v>
      </c>
      <c r="AA35" s="2">
        <v>234</v>
      </c>
      <c r="AB35" s="2">
        <v>2</v>
      </c>
      <c r="AC35" s="2">
        <v>0.22700000000000001</v>
      </c>
      <c r="AD35" s="2">
        <v>0.63</v>
      </c>
      <c r="AE35" s="2">
        <v>573</v>
      </c>
      <c r="AF35" s="2">
        <v>1978</v>
      </c>
      <c r="AG35" s="2">
        <v>47</v>
      </c>
      <c r="AH35" s="11">
        <v>0.247</v>
      </c>
      <c r="AI35" s="11">
        <v>0.753</v>
      </c>
      <c r="AJ35" s="5">
        <v>0</v>
      </c>
      <c r="AK35" s="5">
        <v>0</v>
      </c>
    </row>
    <row r="36" spans="1:37" ht="21" hidden="1" customHeight="1">
      <c r="A36" s="2" t="s">
        <v>196</v>
      </c>
      <c r="B36" s="7" t="s">
        <v>187</v>
      </c>
      <c r="C36" s="7">
        <v>2019</v>
      </c>
      <c r="D36" s="2" t="s">
        <v>38</v>
      </c>
      <c r="E36" s="2" t="s">
        <v>39</v>
      </c>
      <c r="F36" s="2">
        <v>0</v>
      </c>
      <c r="G36" s="2">
        <v>0</v>
      </c>
      <c r="H36" s="24">
        <v>0</v>
      </c>
      <c r="I36" s="2">
        <v>0</v>
      </c>
      <c r="J36" s="2">
        <v>0</v>
      </c>
      <c r="K36" s="2">
        <v>0</v>
      </c>
      <c r="L36" s="5">
        <v>71</v>
      </c>
      <c r="M36" s="5">
        <v>8</v>
      </c>
      <c r="N36" s="5">
        <v>13</v>
      </c>
      <c r="O36" s="5">
        <v>4.92</v>
      </c>
      <c r="P36" s="5">
        <v>1.26</v>
      </c>
      <c r="Q36" s="5">
        <v>0</v>
      </c>
      <c r="R36" t="b">
        <f t="shared" si="0"/>
        <v>0</v>
      </c>
      <c r="S36" s="42"/>
      <c r="T36" s="2" t="s">
        <v>150</v>
      </c>
      <c r="U36" s="7" t="s">
        <v>136</v>
      </c>
      <c r="V36" s="5">
        <v>2014</v>
      </c>
      <c r="W36" s="2" t="s">
        <v>62</v>
      </c>
      <c r="X36" s="2" t="s">
        <v>54</v>
      </c>
      <c r="Y36" s="2">
        <v>3.8</v>
      </c>
      <c r="Z36" s="2">
        <v>390</v>
      </c>
      <c r="AA36" s="2">
        <v>1266</v>
      </c>
      <c r="AB36" s="2">
        <v>33</v>
      </c>
      <c r="AC36" s="2">
        <v>0.247</v>
      </c>
      <c r="AD36" s="2">
        <v>0.73899999999999999</v>
      </c>
      <c r="AE36" s="2">
        <v>521</v>
      </c>
      <c r="AF36" s="2">
        <v>1802</v>
      </c>
      <c r="AG36" s="2">
        <v>52</v>
      </c>
      <c r="AH36" s="11">
        <v>0.27400000000000002</v>
      </c>
      <c r="AI36" s="11">
        <v>0.81299999999999994</v>
      </c>
      <c r="AJ36" s="5">
        <v>0</v>
      </c>
      <c r="AK36" s="5">
        <v>0</v>
      </c>
    </row>
    <row r="37" spans="1:37" ht="21" customHeight="1">
      <c r="A37" s="2" t="s">
        <v>199</v>
      </c>
      <c r="B37" s="7" t="s">
        <v>101</v>
      </c>
      <c r="C37" s="7">
        <v>2019</v>
      </c>
      <c r="D37" s="2" t="s">
        <v>45</v>
      </c>
      <c r="E37" s="2" t="s">
        <v>39</v>
      </c>
      <c r="F37" s="2">
        <v>0</v>
      </c>
      <c r="G37" s="2">
        <v>0</v>
      </c>
      <c r="H37" s="23">
        <v>0</v>
      </c>
      <c r="I37" s="2">
        <v>0</v>
      </c>
      <c r="J37" s="2">
        <v>0</v>
      </c>
      <c r="K37" s="2">
        <v>0</v>
      </c>
      <c r="L37" s="5">
        <v>63</v>
      </c>
      <c r="M37" s="5">
        <v>7</v>
      </c>
      <c r="N37" s="5">
        <v>16</v>
      </c>
      <c r="O37" s="5">
        <v>2.91</v>
      </c>
      <c r="P37" s="5">
        <v>1.29</v>
      </c>
      <c r="Q37" s="5">
        <v>0</v>
      </c>
      <c r="R37" t="b">
        <f t="shared" si="0"/>
        <v>0</v>
      </c>
      <c r="S37" s="42"/>
      <c r="T37" s="2" t="s">
        <v>143</v>
      </c>
      <c r="U37" s="7" t="s">
        <v>67</v>
      </c>
      <c r="V37" s="5">
        <v>2014</v>
      </c>
      <c r="W37" s="2" t="s">
        <v>144</v>
      </c>
      <c r="X37" s="2" t="s">
        <v>54</v>
      </c>
      <c r="Y37" s="2">
        <v>0.3</v>
      </c>
      <c r="Z37" s="2">
        <v>28</v>
      </c>
      <c r="AA37" s="2">
        <v>42</v>
      </c>
      <c r="AB37" s="2">
        <v>1</v>
      </c>
      <c r="AC37" s="11">
        <v>0.31</v>
      </c>
      <c r="AD37" s="2">
        <v>0.81200000000000006</v>
      </c>
      <c r="AE37" s="2">
        <v>874</v>
      </c>
      <c r="AF37" s="2">
        <v>3290</v>
      </c>
      <c r="AG37" s="2">
        <v>60</v>
      </c>
      <c r="AH37" s="11">
        <v>0.27200000000000002</v>
      </c>
      <c r="AI37" s="11">
        <v>0.755</v>
      </c>
      <c r="AJ37" s="5">
        <v>0</v>
      </c>
      <c r="AK37" s="5">
        <v>0</v>
      </c>
    </row>
    <row r="38" spans="1:37" ht="21" customHeight="1">
      <c r="T38" s="2" t="s">
        <v>146</v>
      </c>
      <c r="U38" s="7" t="s">
        <v>42</v>
      </c>
      <c r="V38" s="5">
        <v>2014</v>
      </c>
      <c r="W38" s="2" t="s">
        <v>53</v>
      </c>
      <c r="X38" s="2" t="s">
        <v>54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67</v>
      </c>
      <c r="AF38" s="2">
        <v>196</v>
      </c>
      <c r="AG38" s="2">
        <v>2</v>
      </c>
      <c r="AH38" s="11">
        <v>0.17399999999999999</v>
      </c>
      <c r="AI38" s="11">
        <v>0.51900000000000002</v>
      </c>
      <c r="AJ38" s="5">
        <v>0</v>
      </c>
      <c r="AK38" s="5">
        <v>0</v>
      </c>
    </row>
    <row r="39" spans="1:37" ht="21" customHeight="1">
      <c r="T39" s="2" t="s">
        <v>148</v>
      </c>
      <c r="U39" s="7" t="s">
        <v>35</v>
      </c>
      <c r="V39" s="5">
        <v>2014</v>
      </c>
      <c r="W39" s="2" t="s">
        <v>62</v>
      </c>
      <c r="X39" s="2" t="s">
        <v>54</v>
      </c>
      <c r="Y39" s="2">
        <v>0.2</v>
      </c>
      <c r="Z39" s="2">
        <v>172</v>
      </c>
      <c r="AA39" s="2">
        <v>410</v>
      </c>
      <c r="AB39" s="2">
        <v>17</v>
      </c>
      <c r="AC39" s="2">
        <v>0.19500000000000001</v>
      </c>
      <c r="AD39" s="2">
        <v>0.66300000000000003</v>
      </c>
      <c r="AE39" s="2">
        <v>557</v>
      </c>
      <c r="AF39" s="2">
        <v>2107</v>
      </c>
      <c r="AG39" s="2">
        <v>94</v>
      </c>
      <c r="AH39" s="11">
        <v>0.27100000000000002</v>
      </c>
      <c r="AI39" s="11">
        <v>0.83699999999999997</v>
      </c>
      <c r="AJ39" s="5">
        <v>0</v>
      </c>
      <c r="AK39" s="5">
        <v>0</v>
      </c>
    </row>
    <row r="40" spans="1:37" ht="21" customHeight="1">
      <c r="T40" s="2" t="s">
        <v>149</v>
      </c>
      <c r="U40" s="7" t="s">
        <v>105</v>
      </c>
      <c r="V40" s="5">
        <v>2014</v>
      </c>
      <c r="W40" s="2" t="s">
        <v>62</v>
      </c>
      <c r="X40" s="2" t="s">
        <v>54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520</v>
      </c>
      <c r="AF40" s="2">
        <v>1706</v>
      </c>
      <c r="AG40" s="2">
        <v>41</v>
      </c>
      <c r="AH40" s="11">
        <v>0.23499999999999999</v>
      </c>
      <c r="AI40" s="11">
        <v>0.72699999999999998</v>
      </c>
      <c r="AJ40" s="5">
        <v>0</v>
      </c>
      <c r="AK40" s="5">
        <v>0</v>
      </c>
    </row>
    <row r="41" spans="1:37" ht="21" customHeight="1">
      <c r="T41" s="2" t="s">
        <v>137</v>
      </c>
      <c r="U41" s="7" t="s">
        <v>114</v>
      </c>
      <c r="V41" s="5">
        <v>2014</v>
      </c>
      <c r="W41" s="2" t="s">
        <v>62</v>
      </c>
      <c r="X41" s="2" t="s">
        <v>54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534</v>
      </c>
      <c r="AF41" s="2">
        <v>1754</v>
      </c>
      <c r="AG41" s="2">
        <v>47</v>
      </c>
      <c r="AH41" s="11">
        <v>0.21299999999999999</v>
      </c>
      <c r="AI41" s="11">
        <v>0.69</v>
      </c>
      <c r="AJ41" s="5">
        <v>0</v>
      </c>
      <c r="AK41" s="5">
        <v>0</v>
      </c>
    </row>
    <row r="42" spans="1:37" ht="21" customHeight="1">
      <c r="T42" s="2" t="s">
        <v>152</v>
      </c>
      <c r="U42" s="7" t="s">
        <v>92</v>
      </c>
      <c r="V42" s="5">
        <v>2014</v>
      </c>
      <c r="W42" s="2" t="s">
        <v>53</v>
      </c>
      <c r="X42" s="2" t="s">
        <v>54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471</v>
      </c>
      <c r="AF42" s="2">
        <v>1590</v>
      </c>
      <c r="AG42" s="2">
        <v>73</v>
      </c>
      <c r="AH42" s="11">
        <v>0.214</v>
      </c>
      <c r="AI42" s="11">
        <v>0.76</v>
      </c>
      <c r="AJ42" s="5">
        <v>0</v>
      </c>
      <c r="AK42" s="5">
        <v>0</v>
      </c>
    </row>
    <row r="43" spans="1:37" ht="21" customHeight="1">
      <c r="T43" s="2" t="s">
        <v>154</v>
      </c>
      <c r="U43" s="7" t="s">
        <v>78</v>
      </c>
      <c r="V43" s="5">
        <v>2014</v>
      </c>
      <c r="W43" s="2" t="s">
        <v>58</v>
      </c>
      <c r="X43" s="2" t="s">
        <v>54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831</v>
      </c>
      <c r="AF43" s="2">
        <v>3150</v>
      </c>
      <c r="AG43" s="2">
        <v>124</v>
      </c>
      <c r="AH43" s="11">
        <v>0.23100000000000001</v>
      </c>
      <c r="AI43" s="11">
        <v>0.69699999999999995</v>
      </c>
      <c r="AJ43" s="5">
        <v>0</v>
      </c>
      <c r="AK43" s="5">
        <v>0</v>
      </c>
    </row>
    <row r="44" spans="1:37" ht="21" customHeight="1">
      <c r="T44" s="2" t="s">
        <v>157</v>
      </c>
      <c r="U44" s="2" t="s">
        <v>156</v>
      </c>
      <c r="V44" s="37">
        <v>2019</v>
      </c>
      <c r="W44" s="2" t="s">
        <v>53</v>
      </c>
      <c r="X44" s="2" t="s">
        <v>54</v>
      </c>
      <c r="Y44" s="2">
        <v>12.5</v>
      </c>
      <c r="Z44" s="2">
        <v>368</v>
      </c>
      <c r="AA44" s="2">
        <v>1389</v>
      </c>
      <c r="AB44" s="2">
        <v>50</v>
      </c>
      <c r="AC44" s="2">
        <v>0.26600000000000001</v>
      </c>
      <c r="AD44" s="2">
        <v>0.79100000000000004</v>
      </c>
      <c r="AE44" s="2">
        <v>180</v>
      </c>
      <c r="AF44" s="2">
        <v>651</v>
      </c>
      <c r="AG44" s="2">
        <v>30</v>
      </c>
      <c r="AH44" s="2">
        <v>0.28100000000000003</v>
      </c>
      <c r="AI44" s="2">
        <v>0.877</v>
      </c>
      <c r="AJ44" s="5">
        <v>2</v>
      </c>
      <c r="AK44" s="42">
        <v>1</v>
      </c>
    </row>
    <row r="45" spans="1:37" ht="21" customHeight="1">
      <c r="T45" s="2" t="s">
        <v>158</v>
      </c>
      <c r="U45" s="2" t="s">
        <v>92</v>
      </c>
      <c r="V45" s="37">
        <v>2019</v>
      </c>
      <c r="W45" s="2" t="s">
        <v>58</v>
      </c>
      <c r="X45" s="2" t="s">
        <v>54</v>
      </c>
      <c r="Y45" s="2">
        <v>12.4</v>
      </c>
      <c r="Z45" s="2">
        <v>418</v>
      </c>
      <c r="AA45" s="2">
        <v>1669</v>
      </c>
      <c r="AB45" s="2">
        <v>70</v>
      </c>
      <c r="AC45" s="2">
        <v>0.28799999999999998</v>
      </c>
      <c r="AD45" s="2">
        <v>0.83099999999999996</v>
      </c>
      <c r="AE45" s="34">
        <v>160</v>
      </c>
      <c r="AF45" s="2">
        <v>661</v>
      </c>
      <c r="AG45" s="34">
        <v>34</v>
      </c>
      <c r="AH45" s="34">
        <v>0.28299999999999997</v>
      </c>
      <c r="AI45" s="35">
        <v>0.87</v>
      </c>
      <c r="AJ45" s="5">
        <v>1</v>
      </c>
      <c r="AK45" s="42">
        <v>1</v>
      </c>
    </row>
    <row r="46" spans="1:37" ht="21" customHeight="1">
      <c r="T46" s="2" t="s">
        <v>159</v>
      </c>
      <c r="U46" s="2" t="s">
        <v>47</v>
      </c>
      <c r="V46" s="37">
        <v>2019</v>
      </c>
      <c r="W46" s="2" t="s">
        <v>103</v>
      </c>
      <c r="X46" s="2" t="s">
        <v>54</v>
      </c>
      <c r="Y46" s="2">
        <v>0.6</v>
      </c>
      <c r="Z46" s="2">
        <v>514</v>
      </c>
      <c r="AA46" s="2">
        <v>1877</v>
      </c>
      <c r="AB46" s="2">
        <v>66</v>
      </c>
      <c r="AC46" s="2">
        <v>0.251</v>
      </c>
      <c r="AD46" s="2">
        <v>0.72199999999999998</v>
      </c>
      <c r="AE46" s="2">
        <v>57</v>
      </c>
      <c r="AF46" s="34">
        <v>212</v>
      </c>
      <c r="AG46" s="34">
        <v>8</v>
      </c>
      <c r="AH46" s="34">
        <v>0.27800000000000002</v>
      </c>
      <c r="AI46" s="34">
        <v>0.85799999999999998</v>
      </c>
      <c r="AJ46" s="5">
        <v>0</v>
      </c>
      <c r="AK46" s="42">
        <v>0</v>
      </c>
    </row>
    <row r="47" spans="1:37" ht="21" customHeight="1">
      <c r="T47" s="2" t="s">
        <v>160</v>
      </c>
      <c r="U47" s="2" t="s">
        <v>42</v>
      </c>
      <c r="V47" s="37">
        <v>2019</v>
      </c>
      <c r="W47" s="2" t="s">
        <v>62</v>
      </c>
      <c r="X47" s="2" t="s">
        <v>54</v>
      </c>
      <c r="Y47" s="2">
        <v>1.6</v>
      </c>
      <c r="Z47" s="2">
        <v>255</v>
      </c>
      <c r="AA47" s="2">
        <v>846</v>
      </c>
      <c r="AB47" s="2">
        <v>28</v>
      </c>
      <c r="AC47" s="2">
        <v>0.20799999999999999</v>
      </c>
      <c r="AD47" s="2">
        <v>0.68700000000000006</v>
      </c>
      <c r="AE47" s="24">
        <v>261</v>
      </c>
      <c r="AF47" s="34">
        <v>947</v>
      </c>
      <c r="AG47" s="34">
        <v>43</v>
      </c>
      <c r="AH47" s="34">
        <v>0.23799999999999999</v>
      </c>
      <c r="AI47" s="34">
        <v>0.78700000000000003</v>
      </c>
      <c r="AJ47" s="5">
        <v>0</v>
      </c>
      <c r="AK47" s="42">
        <v>0</v>
      </c>
    </row>
    <row r="48" spans="1:37">
      <c r="T48" s="2" t="s">
        <v>161</v>
      </c>
      <c r="U48" s="2" t="s">
        <v>111</v>
      </c>
      <c r="V48" s="37">
        <v>2019</v>
      </c>
      <c r="W48" s="2" t="s">
        <v>62</v>
      </c>
      <c r="X48" s="2" t="s">
        <v>54</v>
      </c>
      <c r="Y48" s="2">
        <v>7</v>
      </c>
      <c r="Z48" s="2">
        <v>293</v>
      </c>
      <c r="AA48" s="2">
        <v>1125</v>
      </c>
      <c r="AB48" s="2">
        <v>33</v>
      </c>
      <c r="AC48" s="2">
        <v>0.26800000000000002</v>
      </c>
      <c r="AD48" s="2">
        <v>0.77300000000000002</v>
      </c>
      <c r="AE48" s="24">
        <v>201</v>
      </c>
      <c r="AF48" s="34">
        <v>786</v>
      </c>
      <c r="AG48" s="34">
        <v>31</v>
      </c>
      <c r="AH48" s="34">
        <v>0.29399999999999998</v>
      </c>
      <c r="AI48" s="34">
        <v>0.86299999999999999</v>
      </c>
      <c r="AJ48" s="5">
        <v>1</v>
      </c>
      <c r="AK48" s="42">
        <v>1</v>
      </c>
    </row>
    <row r="49" spans="1:37">
      <c r="T49" s="2" t="s">
        <v>162</v>
      </c>
      <c r="U49" s="2" t="s">
        <v>81</v>
      </c>
      <c r="V49" s="37">
        <v>2019</v>
      </c>
      <c r="W49" s="2" t="s">
        <v>58</v>
      </c>
      <c r="X49" s="2" t="s">
        <v>54</v>
      </c>
      <c r="Y49" s="2">
        <v>7</v>
      </c>
      <c r="Z49" s="2">
        <v>342</v>
      </c>
      <c r="AA49" s="2">
        <v>1249</v>
      </c>
      <c r="AB49" s="2">
        <v>35</v>
      </c>
      <c r="AC49" s="2">
        <v>0.249</v>
      </c>
      <c r="AD49" s="2">
        <v>0.71099999999999997</v>
      </c>
      <c r="AE49" s="24">
        <v>114</v>
      </c>
      <c r="AF49" s="34">
        <v>483</v>
      </c>
      <c r="AG49" s="34">
        <v>12</v>
      </c>
      <c r="AH49" s="34">
        <v>0.33100000000000002</v>
      </c>
      <c r="AI49" s="34">
        <v>0.89600000000000002</v>
      </c>
      <c r="AJ49" s="5">
        <v>1</v>
      </c>
      <c r="AK49" s="42">
        <v>1</v>
      </c>
    </row>
    <row r="50" spans="1:37" ht="22">
      <c r="A50" s="121" t="s">
        <v>206</v>
      </c>
      <c r="B50" s="121"/>
      <c r="C50" s="121"/>
      <c r="D50" s="121"/>
      <c r="E50" s="121"/>
      <c r="F50" s="121"/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T50" s="2" t="s">
        <v>164</v>
      </c>
      <c r="U50" s="2" t="s">
        <v>131</v>
      </c>
      <c r="V50" s="37">
        <v>2019</v>
      </c>
      <c r="W50" s="2" t="s">
        <v>119</v>
      </c>
      <c r="X50" s="2" t="s">
        <v>54</v>
      </c>
      <c r="Y50" s="2">
        <v>3</v>
      </c>
      <c r="Z50" s="2">
        <v>154</v>
      </c>
      <c r="AA50" s="2">
        <v>599</v>
      </c>
      <c r="AB50" s="2">
        <v>30</v>
      </c>
      <c r="AC50" s="2">
        <v>0.25900000000000001</v>
      </c>
      <c r="AD50" s="2">
        <v>0.77400000000000002</v>
      </c>
      <c r="AE50" s="24">
        <v>160</v>
      </c>
      <c r="AF50" s="34">
        <v>629</v>
      </c>
      <c r="AG50" s="34">
        <v>30</v>
      </c>
      <c r="AH50" s="35">
        <v>0.31</v>
      </c>
      <c r="AI50" s="34">
        <v>0.90800000000000003</v>
      </c>
      <c r="AJ50" s="5">
        <v>1</v>
      </c>
      <c r="AK50" s="42">
        <v>1</v>
      </c>
    </row>
    <row r="51" spans="1:37" ht="30">
      <c r="A51" s="1" t="s">
        <v>8</v>
      </c>
      <c r="B51" s="1" t="s">
        <v>5</v>
      </c>
      <c r="C51" s="1" t="s">
        <v>203</v>
      </c>
      <c r="D51" s="1" t="s">
        <v>9</v>
      </c>
      <c r="E51" s="1" t="s">
        <v>10</v>
      </c>
      <c r="F51" s="1" t="s">
        <v>11</v>
      </c>
      <c r="G51" s="9" t="s">
        <v>12</v>
      </c>
      <c r="H51" s="9" t="s">
        <v>13</v>
      </c>
      <c r="I51" s="9" t="s">
        <v>14</v>
      </c>
      <c r="J51" s="9" t="s">
        <v>15</v>
      </c>
      <c r="K51" s="9" t="s">
        <v>16</v>
      </c>
      <c r="L51" s="10" t="s">
        <v>17</v>
      </c>
      <c r="M51" s="10" t="s">
        <v>18</v>
      </c>
      <c r="N51" s="10" t="s">
        <v>19</v>
      </c>
      <c r="O51" s="10" t="s">
        <v>20</v>
      </c>
      <c r="P51" s="10" t="s">
        <v>21</v>
      </c>
      <c r="Q51" s="1" t="s">
        <v>32</v>
      </c>
      <c r="R51" s="26" t="s">
        <v>204</v>
      </c>
      <c r="T51" s="2" t="s">
        <v>165</v>
      </c>
      <c r="U51" s="2" t="s">
        <v>136</v>
      </c>
      <c r="V51" s="37">
        <v>2019</v>
      </c>
      <c r="W51" s="2" t="s">
        <v>53</v>
      </c>
      <c r="X51" s="2" t="s">
        <v>54</v>
      </c>
      <c r="Y51" s="2">
        <v>3.3</v>
      </c>
      <c r="Z51" s="2">
        <v>267</v>
      </c>
      <c r="AA51" s="2">
        <v>912</v>
      </c>
      <c r="AB51" s="2">
        <v>48</v>
      </c>
      <c r="AC51" s="2">
        <v>0.21099999999999999</v>
      </c>
      <c r="AD51" s="2">
        <v>0.69699999999999995</v>
      </c>
      <c r="AE51" s="24">
        <v>243</v>
      </c>
      <c r="AF51" s="34">
        <v>909</v>
      </c>
      <c r="AG51" s="34">
        <v>43</v>
      </c>
      <c r="AH51" s="35">
        <v>0.26600000000000001</v>
      </c>
      <c r="AI51" s="34">
        <v>0.80600000000000005</v>
      </c>
      <c r="AJ51" s="5">
        <v>0</v>
      </c>
      <c r="AK51" s="42">
        <v>1</v>
      </c>
    </row>
    <row r="52" spans="1:37">
      <c r="A52" s="2" t="s">
        <v>52</v>
      </c>
      <c r="B52" s="7" t="s">
        <v>51</v>
      </c>
      <c r="C52" s="5">
        <v>2014</v>
      </c>
      <c r="D52" s="2" t="s">
        <v>53</v>
      </c>
      <c r="E52" s="2" t="s">
        <v>54</v>
      </c>
      <c r="F52" s="2">
        <v>13.7</v>
      </c>
      <c r="G52" s="2">
        <v>1058</v>
      </c>
      <c r="H52" s="2">
        <v>3667</v>
      </c>
      <c r="I52" s="2">
        <v>263</v>
      </c>
      <c r="J52" s="2">
        <v>0.22900000000000001</v>
      </c>
      <c r="K52" s="11">
        <v>0.83</v>
      </c>
      <c r="L52" s="2">
        <v>158</v>
      </c>
      <c r="M52" s="2">
        <v>554</v>
      </c>
      <c r="N52" s="2">
        <v>38</v>
      </c>
      <c r="O52" s="11">
        <v>0.33666666666666667</v>
      </c>
      <c r="P52" s="11">
        <v>1.0916666666666668</v>
      </c>
      <c r="Q52" s="5">
        <v>2</v>
      </c>
      <c r="R52" t="b">
        <f>IF(F52&gt;4, TRUE, FALSE)</f>
        <v>1</v>
      </c>
      <c r="T52" s="2" t="s">
        <v>166</v>
      </c>
      <c r="U52" s="2" t="s">
        <v>83</v>
      </c>
      <c r="V52" s="37">
        <v>2019</v>
      </c>
      <c r="W52" s="2" t="s">
        <v>62</v>
      </c>
      <c r="X52" s="2" t="s">
        <v>54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4">
        <v>217</v>
      </c>
      <c r="AF52" s="34">
        <v>776</v>
      </c>
      <c r="AG52" s="34">
        <v>26</v>
      </c>
      <c r="AH52" s="35">
        <v>0.22700000000000001</v>
      </c>
      <c r="AI52" s="34">
        <v>0.71899999999999997</v>
      </c>
      <c r="AJ52" s="5">
        <v>0</v>
      </c>
      <c r="AK52" s="34">
        <v>0</v>
      </c>
    </row>
    <row r="53" spans="1:37">
      <c r="A53" s="2" t="s">
        <v>57</v>
      </c>
      <c r="B53" s="7" t="s">
        <v>56</v>
      </c>
      <c r="C53" s="5">
        <v>2014</v>
      </c>
      <c r="D53" s="2" t="s">
        <v>58</v>
      </c>
      <c r="E53" s="2" t="s">
        <v>54</v>
      </c>
      <c r="F53" s="2">
        <v>0.4</v>
      </c>
      <c r="G53" s="2">
        <v>317</v>
      </c>
      <c r="H53" s="2">
        <v>903</v>
      </c>
      <c r="I53" s="2">
        <v>23</v>
      </c>
      <c r="J53" s="2">
        <v>0.246</v>
      </c>
      <c r="K53" s="2">
        <v>0.67900000000000005</v>
      </c>
      <c r="L53" s="2">
        <v>650</v>
      </c>
      <c r="M53" s="2">
        <v>2623</v>
      </c>
      <c r="N53" s="2">
        <v>28</v>
      </c>
      <c r="O53" s="11">
        <v>0.27500000000000002</v>
      </c>
      <c r="P53" s="11">
        <v>0.71399999999999997</v>
      </c>
      <c r="Q53" s="5">
        <v>0</v>
      </c>
      <c r="R53" t="b">
        <f t="shared" ref="R53:R72" si="1">IF(F53&gt;4, TRUE, FALSE)</f>
        <v>0</v>
      </c>
      <c r="T53" s="2" t="s">
        <v>168</v>
      </c>
      <c r="U53" s="2" t="s">
        <v>73</v>
      </c>
      <c r="V53" s="37">
        <v>2019</v>
      </c>
      <c r="W53" s="2" t="s">
        <v>119</v>
      </c>
      <c r="X53" s="2" t="s">
        <v>54</v>
      </c>
      <c r="Y53" s="2">
        <v>-0.7</v>
      </c>
      <c r="Z53" s="2">
        <v>169</v>
      </c>
      <c r="AA53" s="2">
        <v>544</v>
      </c>
      <c r="AB53" s="2">
        <v>15</v>
      </c>
      <c r="AC53" s="2">
        <v>0.215</v>
      </c>
      <c r="AD53" s="2">
        <v>0.60699999999999998</v>
      </c>
      <c r="AE53" s="24">
        <v>309</v>
      </c>
      <c r="AF53" s="34">
        <v>1159</v>
      </c>
      <c r="AG53" s="34">
        <v>59</v>
      </c>
      <c r="AH53" s="35">
        <v>0.28599999999999998</v>
      </c>
      <c r="AI53" s="34">
        <v>0.89100000000000001</v>
      </c>
      <c r="AJ53" s="5">
        <v>0</v>
      </c>
      <c r="AK53" s="34">
        <v>0</v>
      </c>
    </row>
    <row r="54" spans="1:37">
      <c r="A54" s="2" t="s">
        <v>61</v>
      </c>
      <c r="B54" s="7" t="s">
        <v>60</v>
      </c>
      <c r="C54" s="5">
        <v>2014</v>
      </c>
      <c r="D54" s="2" t="s">
        <v>62</v>
      </c>
      <c r="E54" s="2" t="s">
        <v>54</v>
      </c>
      <c r="F54" s="2">
        <v>-1.7</v>
      </c>
      <c r="G54" s="2">
        <v>97</v>
      </c>
      <c r="H54" s="2">
        <v>236</v>
      </c>
      <c r="I54" s="2">
        <v>4</v>
      </c>
      <c r="J54" s="2">
        <v>0.11899999999999999</v>
      </c>
      <c r="K54" s="2">
        <v>0.41099999999999998</v>
      </c>
      <c r="L54" s="2">
        <v>615</v>
      </c>
      <c r="M54" s="2">
        <v>2217</v>
      </c>
      <c r="N54" s="2">
        <v>112</v>
      </c>
      <c r="O54" s="11">
        <v>0.24299999999999999</v>
      </c>
      <c r="P54" s="11">
        <v>0.78600000000000003</v>
      </c>
      <c r="Q54" s="5">
        <v>0</v>
      </c>
      <c r="R54" t="b">
        <f t="shared" si="1"/>
        <v>0</v>
      </c>
      <c r="T54" s="2" t="s">
        <v>169</v>
      </c>
      <c r="U54" s="2" t="s">
        <v>56</v>
      </c>
      <c r="V54" s="37">
        <v>2019</v>
      </c>
      <c r="W54" s="2" t="s">
        <v>58</v>
      </c>
      <c r="X54" s="2" t="s">
        <v>54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4">
        <v>284</v>
      </c>
      <c r="AF54" s="34">
        <v>1021</v>
      </c>
      <c r="AG54" s="34">
        <v>23</v>
      </c>
      <c r="AH54" s="35">
        <v>0.21199999999999999</v>
      </c>
      <c r="AI54" s="34">
        <v>0.60199999999999998</v>
      </c>
      <c r="AJ54" s="5">
        <v>0</v>
      </c>
      <c r="AK54" s="34">
        <v>0</v>
      </c>
    </row>
    <row r="55" spans="1:37">
      <c r="A55" s="2" t="s">
        <v>74</v>
      </c>
      <c r="B55" s="7" t="s">
        <v>73</v>
      </c>
      <c r="C55" s="5">
        <v>2014</v>
      </c>
      <c r="D55" s="2" t="s">
        <v>62</v>
      </c>
      <c r="E55" s="2" t="s">
        <v>54</v>
      </c>
      <c r="F55" s="2">
        <v>16.600000000000001</v>
      </c>
      <c r="G55" s="2">
        <v>946</v>
      </c>
      <c r="H55" s="2">
        <v>3175</v>
      </c>
      <c r="I55" s="2">
        <v>156</v>
      </c>
      <c r="J55" s="2">
        <v>0.251</v>
      </c>
      <c r="K55" s="2">
        <v>0.80500000000000005</v>
      </c>
      <c r="L55" s="2">
        <v>172</v>
      </c>
      <c r="M55" s="2">
        <v>668</v>
      </c>
      <c r="N55" s="2">
        <v>24</v>
      </c>
      <c r="O55" s="11">
        <v>0.32900000000000001</v>
      </c>
      <c r="P55" s="11">
        <v>0.91900000000000004</v>
      </c>
      <c r="Q55" s="5">
        <v>1</v>
      </c>
      <c r="R55" t="b">
        <f t="shared" si="1"/>
        <v>1</v>
      </c>
      <c r="T55" s="2" t="s">
        <v>170</v>
      </c>
      <c r="U55" s="2" t="s">
        <v>64</v>
      </c>
      <c r="V55" s="37">
        <v>2019</v>
      </c>
      <c r="W55" s="2" t="s">
        <v>58</v>
      </c>
      <c r="X55" s="2" t="s">
        <v>54</v>
      </c>
      <c r="Y55" s="2">
        <v>7.8</v>
      </c>
      <c r="Z55" s="2">
        <v>378</v>
      </c>
      <c r="AA55" s="2">
        <v>1347</v>
      </c>
      <c r="AB55" s="2">
        <v>32</v>
      </c>
      <c r="AC55" s="2">
        <v>0.25800000000000001</v>
      </c>
      <c r="AD55" s="2">
        <v>0.70299999999999996</v>
      </c>
      <c r="AE55" s="24">
        <v>169</v>
      </c>
      <c r="AF55" s="34">
        <v>620</v>
      </c>
      <c r="AG55" s="34">
        <v>24</v>
      </c>
      <c r="AH55" s="35">
        <v>0.3</v>
      </c>
      <c r="AI55" s="34">
        <v>0.88400000000000001</v>
      </c>
      <c r="AJ55" s="5">
        <v>0</v>
      </c>
      <c r="AK55" s="34">
        <v>1</v>
      </c>
    </row>
    <row r="56" spans="1:37">
      <c r="A56" s="2" t="s">
        <v>76</v>
      </c>
      <c r="B56" s="7" t="s">
        <v>70</v>
      </c>
      <c r="C56" s="5">
        <v>2014</v>
      </c>
      <c r="D56" s="2" t="s">
        <v>53</v>
      </c>
      <c r="E56" s="2" t="s">
        <v>54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260</v>
      </c>
      <c r="M56" s="5">
        <v>1025</v>
      </c>
      <c r="N56" s="5">
        <v>29</v>
      </c>
      <c r="O56" s="12">
        <v>0.28000000000000003</v>
      </c>
      <c r="P56" s="12">
        <v>0.75800000000000001</v>
      </c>
      <c r="Q56" s="5">
        <v>0</v>
      </c>
      <c r="R56" t="b">
        <f t="shared" si="1"/>
        <v>0</v>
      </c>
      <c r="T56" s="2" t="s">
        <v>171</v>
      </c>
      <c r="U56" s="2" t="s">
        <v>86</v>
      </c>
      <c r="V56" s="37">
        <v>2019</v>
      </c>
      <c r="W56" s="2" t="s">
        <v>58</v>
      </c>
      <c r="X56" s="2" t="s">
        <v>54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4">
        <v>432</v>
      </c>
      <c r="AF56" s="34">
        <v>1599</v>
      </c>
      <c r="AG56" s="34">
        <v>56</v>
      </c>
      <c r="AH56" s="35">
        <v>0.23300000000000001</v>
      </c>
      <c r="AI56" s="34">
        <v>0.70399999999999996</v>
      </c>
      <c r="AJ56" s="5">
        <v>0</v>
      </c>
      <c r="AK56" s="34">
        <v>0</v>
      </c>
    </row>
    <row r="57" spans="1:37">
      <c r="A57" s="2" t="s">
        <v>82</v>
      </c>
      <c r="B57" s="7" t="s">
        <v>81</v>
      </c>
      <c r="C57" s="5">
        <v>2014</v>
      </c>
      <c r="D57" s="2" t="s">
        <v>58</v>
      </c>
      <c r="E57" s="2" t="s">
        <v>54</v>
      </c>
      <c r="F57" s="2">
        <v>35.4</v>
      </c>
      <c r="G57" s="2">
        <v>1052</v>
      </c>
      <c r="H57" s="2">
        <v>4266</v>
      </c>
      <c r="I57" s="2">
        <v>155</v>
      </c>
      <c r="J57" s="2">
        <v>0.29799999999999999</v>
      </c>
      <c r="K57" s="2">
        <v>0.83399999999999996</v>
      </c>
      <c r="L57" s="2">
        <v>277</v>
      </c>
      <c r="M57" s="2">
        <v>1093</v>
      </c>
      <c r="N57" s="2">
        <v>19</v>
      </c>
      <c r="O57" s="11">
        <v>0.31</v>
      </c>
      <c r="P57" s="11">
        <v>0.82499999999999996</v>
      </c>
      <c r="Q57" s="5">
        <v>2</v>
      </c>
      <c r="R57" t="b">
        <f t="shared" si="1"/>
        <v>1</v>
      </c>
      <c r="T57" s="2" t="s">
        <v>172</v>
      </c>
      <c r="U57" s="2" t="s">
        <v>89</v>
      </c>
      <c r="V57" s="37">
        <v>2019</v>
      </c>
      <c r="W57" s="2" t="s">
        <v>62</v>
      </c>
      <c r="X57" s="2" t="s">
        <v>54</v>
      </c>
      <c r="Y57" s="2">
        <v>7.2</v>
      </c>
      <c r="Z57" s="2">
        <v>292</v>
      </c>
      <c r="AA57" s="2">
        <v>1060</v>
      </c>
      <c r="AB57" s="2">
        <v>37</v>
      </c>
      <c r="AC57" s="2">
        <v>0.25700000000000001</v>
      </c>
      <c r="AD57" s="2">
        <v>0.78900000000000003</v>
      </c>
      <c r="AE57" s="24">
        <v>142</v>
      </c>
      <c r="AF57" s="34">
        <v>539</v>
      </c>
      <c r="AG57" s="34">
        <v>28</v>
      </c>
      <c r="AH57" s="35">
        <v>0.31</v>
      </c>
      <c r="AI57" s="34">
        <v>1.014</v>
      </c>
      <c r="AJ57" s="5">
        <v>1</v>
      </c>
      <c r="AK57" s="34">
        <v>1</v>
      </c>
    </row>
    <row r="58" spans="1:37" ht="30">
      <c r="A58" s="2" t="s">
        <v>102</v>
      </c>
      <c r="B58" s="7" t="s">
        <v>101</v>
      </c>
      <c r="C58" s="5">
        <v>2014</v>
      </c>
      <c r="D58" s="2" t="s">
        <v>103</v>
      </c>
      <c r="E58" s="2" t="s">
        <v>54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478</v>
      </c>
      <c r="M58" s="2">
        <v>1729</v>
      </c>
      <c r="N58" s="2">
        <v>60</v>
      </c>
      <c r="O58" s="11">
        <v>0.25</v>
      </c>
      <c r="P58" s="11">
        <v>0.755</v>
      </c>
      <c r="Q58" s="5">
        <v>0</v>
      </c>
      <c r="R58" t="b">
        <f t="shared" si="1"/>
        <v>0</v>
      </c>
      <c r="T58" s="2" t="s">
        <v>178</v>
      </c>
      <c r="U58" s="2" t="s">
        <v>136</v>
      </c>
      <c r="V58" s="37">
        <v>2019</v>
      </c>
      <c r="W58" s="2" t="s">
        <v>58</v>
      </c>
      <c r="X58" s="2" t="s">
        <v>54</v>
      </c>
      <c r="Y58" s="2">
        <v>-0.7</v>
      </c>
      <c r="Z58" s="2">
        <v>31</v>
      </c>
      <c r="AA58" s="2">
        <v>68</v>
      </c>
      <c r="AB58" s="2">
        <v>1</v>
      </c>
      <c r="AC58" s="2">
        <v>0.11799999999999999</v>
      </c>
      <c r="AD58" s="2">
        <v>0.318</v>
      </c>
      <c r="AE58" s="24">
        <v>356</v>
      </c>
      <c r="AF58" s="34">
        <v>1356</v>
      </c>
      <c r="AG58" s="34">
        <v>38</v>
      </c>
      <c r="AH58" s="35">
        <v>0.248</v>
      </c>
      <c r="AI58" s="34">
        <v>0.70799999999999996</v>
      </c>
      <c r="AJ58" s="5">
        <v>0</v>
      </c>
      <c r="AK58" s="34">
        <v>0</v>
      </c>
    </row>
    <row r="59" spans="1:37">
      <c r="A59" s="2" t="s">
        <v>106</v>
      </c>
      <c r="B59" s="7" t="s">
        <v>105</v>
      </c>
      <c r="C59" s="5">
        <v>2014</v>
      </c>
      <c r="D59" s="2" t="s">
        <v>62</v>
      </c>
      <c r="E59" s="2" t="s">
        <v>54</v>
      </c>
      <c r="F59" s="2">
        <v>2.9</v>
      </c>
      <c r="G59" s="2">
        <v>372</v>
      </c>
      <c r="H59" s="2">
        <v>859</v>
      </c>
      <c r="I59" s="2">
        <v>21</v>
      </c>
      <c r="J59" s="2">
        <v>0.21299999999999999</v>
      </c>
      <c r="K59" s="2">
        <v>0.63100000000000001</v>
      </c>
      <c r="L59" s="2">
        <v>461</v>
      </c>
      <c r="M59" s="2">
        <v>1651</v>
      </c>
      <c r="N59" s="2">
        <v>55</v>
      </c>
      <c r="O59" s="11">
        <v>0.26100000000000001</v>
      </c>
      <c r="P59" s="11">
        <v>0.80100000000000005</v>
      </c>
      <c r="Q59" s="5">
        <v>0</v>
      </c>
      <c r="R59" t="b">
        <f t="shared" si="1"/>
        <v>0</v>
      </c>
      <c r="T59" s="2" t="s">
        <v>179</v>
      </c>
      <c r="U59" s="2" t="s">
        <v>101</v>
      </c>
      <c r="V59" s="37">
        <v>2019</v>
      </c>
      <c r="W59" s="2" t="s">
        <v>58</v>
      </c>
      <c r="X59" s="2" t="s">
        <v>54</v>
      </c>
      <c r="Y59" s="2">
        <v>0.1</v>
      </c>
      <c r="Z59" s="2">
        <v>6</v>
      </c>
      <c r="AA59" s="2">
        <v>5</v>
      </c>
      <c r="AB59" s="2">
        <v>1</v>
      </c>
      <c r="AC59" s="2">
        <v>0.2</v>
      </c>
      <c r="AD59" s="2">
        <v>1.133</v>
      </c>
      <c r="AE59" s="24">
        <v>321</v>
      </c>
      <c r="AF59" s="34">
        <v>1241</v>
      </c>
      <c r="AG59" s="34">
        <v>40</v>
      </c>
      <c r="AH59" s="35">
        <v>0.26400000000000001</v>
      </c>
      <c r="AI59" s="34">
        <v>0.78700000000000003</v>
      </c>
      <c r="AJ59" s="5">
        <v>0</v>
      </c>
      <c r="AK59" s="34">
        <v>0</v>
      </c>
    </row>
    <row r="60" spans="1:37">
      <c r="A60" s="2" t="s">
        <v>112</v>
      </c>
      <c r="B60" s="7" t="s">
        <v>111</v>
      </c>
      <c r="C60" s="5">
        <v>2014</v>
      </c>
      <c r="D60" s="2" t="s">
        <v>62</v>
      </c>
      <c r="E60" s="2" t="s">
        <v>54</v>
      </c>
      <c r="F60" s="2">
        <v>-0.3</v>
      </c>
      <c r="G60" s="2">
        <v>119</v>
      </c>
      <c r="H60" s="2">
        <v>309</v>
      </c>
      <c r="I60" s="2">
        <v>7</v>
      </c>
      <c r="J60" s="2">
        <v>0.23</v>
      </c>
      <c r="K60" s="2">
        <v>0.61699999999999999</v>
      </c>
      <c r="L60" s="2">
        <v>712</v>
      </c>
      <c r="M60" s="2">
        <v>2674</v>
      </c>
      <c r="N60" s="2">
        <v>53</v>
      </c>
      <c r="O60" s="11">
        <v>0.26100000000000001</v>
      </c>
      <c r="P60" s="11">
        <v>0.72399999999999998</v>
      </c>
      <c r="Q60" s="5">
        <v>0</v>
      </c>
      <c r="R60" t="b">
        <f t="shared" si="1"/>
        <v>0</v>
      </c>
      <c r="T60" s="2" t="s">
        <v>180</v>
      </c>
      <c r="U60" s="2" t="s">
        <v>67</v>
      </c>
      <c r="V60" s="37">
        <v>2019</v>
      </c>
      <c r="W60" s="2" t="s">
        <v>103</v>
      </c>
      <c r="X60" s="2" t="s">
        <v>54</v>
      </c>
      <c r="Y60" s="2">
        <v>-0.4</v>
      </c>
      <c r="Z60" s="2">
        <v>140</v>
      </c>
      <c r="AA60" s="2">
        <v>473</v>
      </c>
      <c r="AB60" s="2">
        <v>25</v>
      </c>
      <c r="AC60" s="2">
        <v>0.19900000000000001</v>
      </c>
      <c r="AD60" s="2">
        <v>0.67</v>
      </c>
      <c r="AE60" s="24">
        <v>378</v>
      </c>
      <c r="AF60" s="34">
        <v>1426</v>
      </c>
      <c r="AG60" s="34">
        <v>86</v>
      </c>
      <c r="AH60" s="35">
        <v>0.247</v>
      </c>
      <c r="AI60" s="34">
        <v>0.83399999999999996</v>
      </c>
      <c r="AJ60" s="5">
        <v>0</v>
      </c>
      <c r="AK60" s="34">
        <v>0</v>
      </c>
    </row>
    <row r="61" spans="1:37">
      <c r="A61" s="2" t="s">
        <v>115</v>
      </c>
      <c r="B61" s="7" t="s">
        <v>114</v>
      </c>
      <c r="C61" s="5">
        <v>2014</v>
      </c>
      <c r="D61" s="2" t="s">
        <v>58</v>
      </c>
      <c r="E61" s="2" t="s">
        <v>54</v>
      </c>
      <c r="F61" s="2">
        <v>-2.6</v>
      </c>
      <c r="G61" s="2">
        <v>183</v>
      </c>
      <c r="H61" s="2">
        <v>494</v>
      </c>
      <c r="I61" s="2">
        <v>5</v>
      </c>
      <c r="J61" s="2">
        <v>0.21299999999999999</v>
      </c>
      <c r="K61" s="2">
        <v>0.58199999999999996</v>
      </c>
      <c r="L61" s="2">
        <v>715</v>
      </c>
      <c r="M61" s="2">
        <v>2777</v>
      </c>
      <c r="N61" s="2">
        <v>40</v>
      </c>
      <c r="O61" s="11">
        <v>0.26100000000000001</v>
      </c>
      <c r="P61" s="11">
        <v>0.71599999999999997</v>
      </c>
      <c r="Q61" s="5">
        <v>0</v>
      </c>
      <c r="R61" t="b">
        <f t="shared" si="1"/>
        <v>0</v>
      </c>
      <c r="T61" s="2" t="s">
        <v>182</v>
      </c>
      <c r="U61" s="2" t="s">
        <v>108</v>
      </c>
      <c r="V61" s="37">
        <v>2019</v>
      </c>
      <c r="W61" s="2" t="s">
        <v>119</v>
      </c>
      <c r="X61" s="2" t="s">
        <v>54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4">
        <v>377</v>
      </c>
      <c r="AF61" s="34">
        <v>1385</v>
      </c>
      <c r="AG61" s="34">
        <v>36</v>
      </c>
      <c r="AH61" s="35">
        <v>0.248</v>
      </c>
      <c r="AI61" s="34">
        <v>0.69</v>
      </c>
      <c r="AJ61" s="5">
        <v>0</v>
      </c>
      <c r="AK61" s="34">
        <v>0</v>
      </c>
    </row>
    <row r="62" spans="1:37">
      <c r="A62" s="2" t="s">
        <v>118</v>
      </c>
      <c r="B62" s="7" t="s">
        <v>117</v>
      </c>
      <c r="C62" s="5">
        <v>2014</v>
      </c>
      <c r="D62" s="2" t="s">
        <v>119</v>
      </c>
      <c r="E62" s="2" t="s">
        <v>54</v>
      </c>
      <c r="F62" s="2">
        <v>34.5</v>
      </c>
      <c r="G62" s="2">
        <v>953</v>
      </c>
      <c r="H62" s="2">
        <v>3464</v>
      </c>
      <c r="I62" s="2">
        <v>167</v>
      </c>
      <c r="J62" s="2">
        <v>0.24099999999999999</v>
      </c>
      <c r="K62" s="2">
        <v>0.78700000000000003</v>
      </c>
      <c r="L62" s="2">
        <v>321</v>
      </c>
      <c r="M62" s="2">
        <v>1211</v>
      </c>
      <c r="N62" s="2">
        <v>80</v>
      </c>
      <c r="O62" s="11">
        <v>0.24399999999999999</v>
      </c>
      <c r="P62" s="11">
        <v>0.84399999999999997</v>
      </c>
      <c r="Q62" s="5">
        <v>3</v>
      </c>
      <c r="R62" t="b">
        <f t="shared" si="1"/>
        <v>1</v>
      </c>
      <c r="T62" s="2" t="s">
        <v>186</v>
      </c>
      <c r="U62" s="2" t="s">
        <v>117</v>
      </c>
      <c r="V62" s="37">
        <v>2019</v>
      </c>
      <c r="W62" s="2" t="s">
        <v>58</v>
      </c>
      <c r="X62" s="2" t="s">
        <v>54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4">
        <v>450</v>
      </c>
      <c r="AF62" s="34">
        <v>1661</v>
      </c>
      <c r="AG62" s="34">
        <v>42</v>
      </c>
      <c r="AH62" s="35">
        <v>0.249</v>
      </c>
      <c r="AI62" s="34">
        <v>0.72</v>
      </c>
      <c r="AJ62" s="5">
        <v>0</v>
      </c>
      <c r="AK62" s="34">
        <v>0</v>
      </c>
    </row>
    <row r="63" spans="1:37">
      <c r="A63" s="2" t="s">
        <v>122</v>
      </c>
      <c r="B63" s="7" t="s">
        <v>121</v>
      </c>
      <c r="C63" s="5">
        <v>2014</v>
      </c>
      <c r="D63" s="2" t="s">
        <v>58</v>
      </c>
      <c r="E63" s="2" t="s">
        <v>54</v>
      </c>
      <c r="F63" s="2">
        <v>0.2</v>
      </c>
      <c r="G63" s="2">
        <v>357</v>
      </c>
      <c r="H63" s="2">
        <v>1106</v>
      </c>
      <c r="I63" s="2">
        <v>42</v>
      </c>
      <c r="J63" s="2">
        <v>0.23799999999999999</v>
      </c>
      <c r="K63" s="2">
        <v>0.68500000000000005</v>
      </c>
      <c r="L63" s="2">
        <v>543</v>
      </c>
      <c r="M63" s="2">
        <v>2056</v>
      </c>
      <c r="N63" s="2">
        <v>97</v>
      </c>
      <c r="O63" s="11">
        <v>0.26100000000000001</v>
      </c>
      <c r="P63" s="11">
        <v>0.80400000000000005</v>
      </c>
      <c r="Q63" s="5">
        <v>0</v>
      </c>
      <c r="R63" t="b">
        <f t="shared" si="1"/>
        <v>0</v>
      </c>
      <c r="T63" s="2" t="s">
        <v>188</v>
      </c>
      <c r="U63" s="2" t="s">
        <v>187</v>
      </c>
      <c r="V63" s="37">
        <v>2019</v>
      </c>
      <c r="W63" s="2" t="s">
        <v>58</v>
      </c>
      <c r="X63" s="2" t="s">
        <v>54</v>
      </c>
      <c r="Y63" s="2">
        <v>6.1</v>
      </c>
      <c r="Z63" s="2">
        <v>268</v>
      </c>
      <c r="AA63" s="2">
        <v>996</v>
      </c>
      <c r="AB63" s="2">
        <v>30</v>
      </c>
      <c r="AC63" s="2">
        <v>0.23</v>
      </c>
      <c r="AD63" s="2">
        <v>0.67800000000000005</v>
      </c>
      <c r="AE63" s="24">
        <v>275</v>
      </c>
      <c r="AF63" s="34">
        <v>1044</v>
      </c>
      <c r="AG63" s="34">
        <v>50</v>
      </c>
      <c r="AH63" s="35">
        <v>0.26200000000000001</v>
      </c>
      <c r="AI63" s="34">
        <v>0.88100000000000001</v>
      </c>
      <c r="AJ63" s="5">
        <v>0</v>
      </c>
      <c r="AK63" s="34">
        <v>1</v>
      </c>
    </row>
    <row r="64" spans="1:37">
      <c r="A64" s="2" t="s">
        <v>129</v>
      </c>
      <c r="B64" s="7" t="s">
        <v>98</v>
      </c>
      <c r="C64" s="5">
        <v>2014</v>
      </c>
      <c r="D64" s="2" t="s">
        <v>58</v>
      </c>
      <c r="E64" s="2" t="s">
        <v>54</v>
      </c>
      <c r="F64" s="2">
        <v>-0.2</v>
      </c>
      <c r="G64" s="2">
        <v>135</v>
      </c>
      <c r="H64" s="2">
        <v>234</v>
      </c>
      <c r="I64" s="2">
        <v>2</v>
      </c>
      <c r="J64" s="2">
        <v>0.22700000000000001</v>
      </c>
      <c r="K64" s="2">
        <v>0.63</v>
      </c>
      <c r="L64" s="2">
        <v>573</v>
      </c>
      <c r="M64" s="2">
        <v>1978</v>
      </c>
      <c r="N64" s="2">
        <v>47</v>
      </c>
      <c r="O64" s="11">
        <v>0.247</v>
      </c>
      <c r="P64" s="11">
        <v>0.753</v>
      </c>
      <c r="Q64" s="5">
        <v>0</v>
      </c>
      <c r="R64" t="b">
        <f t="shared" si="1"/>
        <v>0</v>
      </c>
      <c r="T64" s="2" t="s">
        <v>189</v>
      </c>
      <c r="U64" s="2" t="s">
        <v>108</v>
      </c>
      <c r="V64" s="37">
        <v>2019</v>
      </c>
      <c r="W64" s="2" t="s">
        <v>144</v>
      </c>
      <c r="X64" s="2" t="s">
        <v>54</v>
      </c>
      <c r="Y64" s="2">
        <v>2.2000000000000002</v>
      </c>
      <c r="Z64" s="2">
        <v>131</v>
      </c>
      <c r="AA64" s="2">
        <v>407</v>
      </c>
      <c r="AB64" s="2">
        <v>15</v>
      </c>
      <c r="AC64" s="2">
        <v>0.24099999999999999</v>
      </c>
      <c r="AD64" s="2">
        <v>0.746</v>
      </c>
      <c r="AE64" s="2">
        <v>357</v>
      </c>
      <c r="AF64" s="34">
        <v>1375</v>
      </c>
      <c r="AG64" s="34">
        <v>79</v>
      </c>
      <c r="AH64" s="35">
        <v>0.28299999999999997</v>
      </c>
      <c r="AI64" s="34">
        <v>0.91900000000000004</v>
      </c>
      <c r="AJ64" s="5">
        <v>0</v>
      </c>
      <c r="AK64" s="34">
        <v>0</v>
      </c>
    </row>
    <row r="65" spans="1:37">
      <c r="A65" s="2" t="s">
        <v>150</v>
      </c>
      <c r="B65" s="46" t="s">
        <v>114</v>
      </c>
      <c r="C65" s="5">
        <v>2014</v>
      </c>
      <c r="D65" s="2" t="s">
        <v>62</v>
      </c>
      <c r="E65" s="2" t="s">
        <v>54</v>
      </c>
      <c r="F65" s="2">
        <v>3.8</v>
      </c>
      <c r="G65" s="2">
        <v>390</v>
      </c>
      <c r="H65" s="2">
        <v>1266</v>
      </c>
      <c r="I65" s="2">
        <v>33</v>
      </c>
      <c r="J65" s="2">
        <v>0.247</v>
      </c>
      <c r="K65" s="2">
        <v>0.73899999999999999</v>
      </c>
      <c r="L65" s="2">
        <v>521</v>
      </c>
      <c r="M65" s="2">
        <v>1802</v>
      </c>
      <c r="N65" s="2">
        <v>52</v>
      </c>
      <c r="O65" s="11">
        <v>0.27400000000000002</v>
      </c>
      <c r="P65" s="11">
        <v>0.81299999999999994</v>
      </c>
      <c r="Q65" s="5">
        <v>0</v>
      </c>
      <c r="R65" t="b">
        <f t="shared" si="1"/>
        <v>0</v>
      </c>
      <c r="T65" s="2" t="s">
        <v>190</v>
      </c>
      <c r="U65" s="2" t="s">
        <v>35</v>
      </c>
      <c r="V65" s="37">
        <v>2019</v>
      </c>
      <c r="W65" s="2" t="s">
        <v>53</v>
      </c>
      <c r="X65" s="2" t="s">
        <v>54</v>
      </c>
      <c r="Y65" s="2">
        <v>-1</v>
      </c>
      <c r="Z65" s="2">
        <v>122</v>
      </c>
      <c r="AA65" s="2">
        <v>344</v>
      </c>
      <c r="AB65" s="2">
        <v>10</v>
      </c>
      <c r="AC65" s="2">
        <v>0.183</v>
      </c>
      <c r="AD65" s="2">
        <v>0.53</v>
      </c>
      <c r="AE65" s="2">
        <v>338</v>
      </c>
      <c r="AF65" s="34">
        <v>1291</v>
      </c>
      <c r="AG65" s="34">
        <v>44</v>
      </c>
      <c r="AH65" s="35">
        <v>0.26300000000000001</v>
      </c>
      <c r="AI65" s="34">
        <v>0.75600000000000001</v>
      </c>
      <c r="AJ65" s="5">
        <v>0</v>
      </c>
      <c r="AK65" s="34">
        <v>0</v>
      </c>
    </row>
    <row r="66" spans="1:37">
      <c r="A66" s="2" t="s">
        <v>143</v>
      </c>
      <c r="B66" s="7" t="s">
        <v>67</v>
      </c>
      <c r="C66" s="5">
        <v>2014</v>
      </c>
      <c r="D66" s="2" t="s">
        <v>144</v>
      </c>
      <c r="E66" s="2" t="s">
        <v>54</v>
      </c>
      <c r="F66" s="2">
        <v>0.3</v>
      </c>
      <c r="G66" s="2">
        <v>28</v>
      </c>
      <c r="H66" s="2">
        <v>42</v>
      </c>
      <c r="I66" s="2">
        <v>1</v>
      </c>
      <c r="J66" s="11">
        <v>0.31</v>
      </c>
      <c r="K66" s="2">
        <v>0.81200000000000006</v>
      </c>
      <c r="L66" s="2">
        <v>874</v>
      </c>
      <c r="M66" s="2">
        <v>3290</v>
      </c>
      <c r="N66" s="2">
        <v>60</v>
      </c>
      <c r="O66" s="11">
        <v>0.27200000000000002</v>
      </c>
      <c r="P66" s="11">
        <v>0.755</v>
      </c>
      <c r="Q66" s="5">
        <v>0</v>
      </c>
      <c r="R66" t="b">
        <f t="shared" si="1"/>
        <v>0</v>
      </c>
      <c r="T66" s="2" t="s">
        <v>193</v>
      </c>
      <c r="U66" s="2" t="s">
        <v>42</v>
      </c>
      <c r="V66" s="37">
        <v>2019</v>
      </c>
      <c r="W66" s="2" t="s">
        <v>62</v>
      </c>
      <c r="X66" s="2" t="s">
        <v>54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485</v>
      </c>
      <c r="AF66" s="34">
        <v>1762</v>
      </c>
      <c r="AG66" s="34">
        <v>66</v>
      </c>
      <c r="AH66" s="35">
        <v>0.246</v>
      </c>
      <c r="AI66" s="34">
        <v>0.80200000000000005</v>
      </c>
      <c r="AJ66" s="5">
        <v>0</v>
      </c>
      <c r="AK66" s="34">
        <v>0</v>
      </c>
    </row>
    <row r="67" spans="1:37">
      <c r="A67" s="2" t="s">
        <v>146</v>
      </c>
      <c r="B67" s="7" t="s">
        <v>42</v>
      </c>
      <c r="C67" s="5">
        <v>2014</v>
      </c>
      <c r="D67" s="2" t="s">
        <v>53</v>
      </c>
      <c r="E67" s="2" t="s">
        <v>54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67</v>
      </c>
      <c r="M67" s="2">
        <v>196</v>
      </c>
      <c r="N67" s="2">
        <v>2</v>
      </c>
      <c r="O67" s="11">
        <v>0.17399999999999999</v>
      </c>
      <c r="P67" s="11">
        <v>0.51900000000000002</v>
      </c>
      <c r="Q67" s="5">
        <v>0</v>
      </c>
      <c r="R67" t="b">
        <f t="shared" si="1"/>
        <v>0</v>
      </c>
      <c r="T67" s="2" t="s">
        <v>195</v>
      </c>
      <c r="U67" s="2" t="s">
        <v>114</v>
      </c>
      <c r="V67" s="37">
        <v>2019</v>
      </c>
      <c r="W67" s="2" t="s">
        <v>62</v>
      </c>
      <c r="X67" s="2" t="s">
        <v>54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367</v>
      </c>
      <c r="AF67" s="34">
        <v>1264</v>
      </c>
      <c r="AG67" s="34">
        <v>32</v>
      </c>
      <c r="AH67" s="35">
        <v>0.23100000000000001</v>
      </c>
      <c r="AI67" s="34">
        <v>0.70599999999999996</v>
      </c>
      <c r="AJ67" s="5">
        <v>0</v>
      </c>
      <c r="AK67" s="34">
        <v>0</v>
      </c>
    </row>
    <row r="68" spans="1:37">
      <c r="A68" s="2" t="s">
        <v>148</v>
      </c>
      <c r="B68" s="7" t="s">
        <v>35</v>
      </c>
      <c r="C68" s="5">
        <v>2014</v>
      </c>
      <c r="D68" s="2" t="s">
        <v>62</v>
      </c>
      <c r="E68" s="2" t="s">
        <v>54</v>
      </c>
      <c r="F68" s="2">
        <v>0.2</v>
      </c>
      <c r="G68" s="2">
        <v>172</v>
      </c>
      <c r="H68" s="2">
        <v>410</v>
      </c>
      <c r="I68" s="2">
        <v>17</v>
      </c>
      <c r="J68" s="2">
        <v>0.19500000000000001</v>
      </c>
      <c r="K68" s="2">
        <v>0.66300000000000003</v>
      </c>
      <c r="L68" s="2">
        <v>557</v>
      </c>
      <c r="M68" s="2">
        <v>2107</v>
      </c>
      <c r="N68" s="2">
        <v>94</v>
      </c>
      <c r="O68" s="11">
        <v>0.27100000000000002</v>
      </c>
      <c r="P68" s="11">
        <v>0.83699999999999997</v>
      </c>
      <c r="Q68" s="5">
        <v>0</v>
      </c>
      <c r="R68" t="b">
        <f t="shared" si="1"/>
        <v>0</v>
      </c>
      <c r="T68" s="2" t="s">
        <v>197</v>
      </c>
      <c r="U68" s="2" t="s">
        <v>56</v>
      </c>
      <c r="V68" s="37">
        <v>2019</v>
      </c>
      <c r="W68" s="2" t="s">
        <v>62</v>
      </c>
      <c r="X68" s="2" t="s">
        <v>54</v>
      </c>
      <c r="Y68" s="2">
        <v>3</v>
      </c>
      <c r="Z68" s="2">
        <v>122</v>
      </c>
      <c r="AA68" s="2">
        <v>339</v>
      </c>
      <c r="AB68" s="2">
        <v>22</v>
      </c>
      <c r="AC68" s="2">
        <v>0.248</v>
      </c>
      <c r="AD68" s="2">
        <v>0.872</v>
      </c>
      <c r="AE68" s="2">
        <v>395</v>
      </c>
      <c r="AF68" s="34">
        <v>1487</v>
      </c>
      <c r="AG68" s="34">
        <v>80</v>
      </c>
      <c r="AH68" s="35">
        <v>0.27100000000000002</v>
      </c>
      <c r="AI68" s="34">
        <v>0.89600000000000002</v>
      </c>
      <c r="AJ68" s="5">
        <v>0</v>
      </c>
      <c r="AK68" s="34">
        <v>1</v>
      </c>
    </row>
    <row r="69" spans="1:37">
      <c r="A69" s="2" t="s">
        <v>149</v>
      </c>
      <c r="B69" s="7" t="s">
        <v>105</v>
      </c>
      <c r="C69" s="5">
        <v>2014</v>
      </c>
      <c r="D69" s="2" t="s">
        <v>62</v>
      </c>
      <c r="E69" s="2" t="s">
        <v>54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520</v>
      </c>
      <c r="M69" s="2">
        <v>1706</v>
      </c>
      <c r="N69" s="2">
        <v>41</v>
      </c>
      <c r="O69" s="11">
        <v>0.23499999999999999</v>
      </c>
      <c r="P69" s="11">
        <v>0.72699999999999998</v>
      </c>
      <c r="Q69" s="5">
        <v>0</v>
      </c>
      <c r="R69" t="b">
        <f t="shared" si="1"/>
        <v>0</v>
      </c>
      <c r="T69" s="2" t="s">
        <v>200</v>
      </c>
      <c r="U69" s="2" t="s">
        <v>131</v>
      </c>
      <c r="V69" s="37">
        <v>2019</v>
      </c>
      <c r="W69" s="2" t="s">
        <v>119</v>
      </c>
      <c r="X69" s="2" t="s">
        <v>54</v>
      </c>
      <c r="Y69" s="2">
        <v>0</v>
      </c>
      <c r="Z69" s="2">
        <v>27</v>
      </c>
      <c r="AA69" s="2">
        <v>47</v>
      </c>
      <c r="AB69" s="2">
        <v>1</v>
      </c>
      <c r="AC69" s="2">
        <v>0.128</v>
      </c>
      <c r="AD69" s="2">
        <v>0.39700000000000002</v>
      </c>
      <c r="AE69" s="2">
        <v>323</v>
      </c>
      <c r="AF69" s="34">
        <v>1165</v>
      </c>
      <c r="AG69" s="34">
        <v>62</v>
      </c>
      <c r="AH69" s="35">
        <v>0.23400000000000001</v>
      </c>
      <c r="AI69" s="34">
        <v>0.78100000000000003</v>
      </c>
      <c r="AJ69" s="5">
        <v>0</v>
      </c>
      <c r="AK69" s="34">
        <v>0</v>
      </c>
    </row>
    <row r="70" spans="1:37">
      <c r="A70" s="2" t="s">
        <v>137</v>
      </c>
      <c r="B70" s="46" t="s">
        <v>136</v>
      </c>
      <c r="C70" s="5">
        <v>2014</v>
      </c>
      <c r="D70" s="2" t="s">
        <v>62</v>
      </c>
      <c r="E70" s="2" t="s">
        <v>54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534</v>
      </c>
      <c r="M70" s="2">
        <v>1754</v>
      </c>
      <c r="N70" s="2">
        <v>47</v>
      </c>
      <c r="O70" s="11">
        <v>0.21299999999999999</v>
      </c>
      <c r="P70" s="11">
        <v>0.69</v>
      </c>
      <c r="Q70" s="5">
        <v>0</v>
      </c>
      <c r="R70" t="b">
        <f t="shared" si="1"/>
        <v>0</v>
      </c>
      <c r="T70" s="2" t="s">
        <v>163</v>
      </c>
      <c r="U70" s="7" t="s">
        <v>98</v>
      </c>
      <c r="V70" s="7">
        <v>2019</v>
      </c>
      <c r="W70" s="2" t="s">
        <v>38</v>
      </c>
      <c r="X70" s="2" t="s">
        <v>39</v>
      </c>
      <c r="Y70" s="2">
        <v>4.2</v>
      </c>
      <c r="Z70" s="2">
        <v>43</v>
      </c>
      <c r="AA70" s="32">
        <v>14</v>
      </c>
      <c r="AB70" s="2">
        <v>12</v>
      </c>
      <c r="AC70" s="2">
        <v>4.18</v>
      </c>
      <c r="AD70" s="2">
        <v>1.28</v>
      </c>
      <c r="AE70" s="5">
        <v>30</v>
      </c>
      <c r="AF70" s="5">
        <v>2</v>
      </c>
      <c r="AG70" s="5">
        <v>5</v>
      </c>
      <c r="AH70" s="17">
        <v>2.7</v>
      </c>
      <c r="AI70" s="5">
        <v>1.0900000000000001</v>
      </c>
      <c r="AJ70" s="5">
        <v>0</v>
      </c>
      <c r="AK70" s="42">
        <v>1</v>
      </c>
    </row>
    <row r="71" spans="1:37">
      <c r="A71" s="2" t="s">
        <v>152</v>
      </c>
      <c r="B71" s="7" t="s">
        <v>92</v>
      </c>
      <c r="C71" s="5">
        <v>2014</v>
      </c>
      <c r="D71" s="2" t="s">
        <v>53</v>
      </c>
      <c r="E71" s="2" t="s">
        <v>54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471</v>
      </c>
      <c r="M71" s="2">
        <v>1590</v>
      </c>
      <c r="N71" s="2">
        <v>73</v>
      </c>
      <c r="O71" s="11">
        <v>0.214</v>
      </c>
      <c r="P71" s="11">
        <v>0.76</v>
      </c>
      <c r="Q71" s="5">
        <v>0</v>
      </c>
      <c r="R71" t="b">
        <f t="shared" si="1"/>
        <v>0</v>
      </c>
      <c r="T71" s="2" t="s">
        <v>167</v>
      </c>
      <c r="U71" s="7" t="s">
        <v>70</v>
      </c>
      <c r="V71" s="7">
        <v>2019</v>
      </c>
      <c r="W71" s="2" t="s">
        <v>45</v>
      </c>
      <c r="X71" s="2" t="s">
        <v>39</v>
      </c>
      <c r="Y71" s="2">
        <v>7.5</v>
      </c>
      <c r="Z71" s="2">
        <v>75</v>
      </c>
      <c r="AA71" s="32">
        <v>29</v>
      </c>
      <c r="AB71" s="2">
        <v>20</v>
      </c>
      <c r="AC71" s="2">
        <v>3.34</v>
      </c>
      <c r="AD71" s="2">
        <v>1.1599999999999999</v>
      </c>
      <c r="AE71" s="5">
        <v>16</v>
      </c>
      <c r="AF71" s="5">
        <v>3</v>
      </c>
      <c r="AG71" s="5">
        <v>4</v>
      </c>
      <c r="AH71" s="5">
        <v>5.34</v>
      </c>
      <c r="AI71" s="5">
        <v>1.36</v>
      </c>
      <c r="AJ71" s="5">
        <v>1</v>
      </c>
      <c r="AK71" s="42">
        <v>1</v>
      </c>
    </row>
    <row r="72" spans="1:37">
      <c r="A72" s="2" t="s">
        <v>154</v>
      </c>
      <c r="B72" s="7" t="s">
        <v>78</v>
      </c>
      <c r="C72" s="5">
        <v>2014</v>
      </c>
      <c r="D72" s="2" t="s">
        <v>58</v>
      </c>
      <c r="E72" s="2" t="s">
        <v>54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831</v>
      </c>
      <c r="M72" s="2">
        <v>3150</v>
      </c>
      <c r="N72" s="2">
        <v>124</v>
      </c>
      <c r="O72" s="11">
        <v>0.23100000000000001</v>
      </c>
      <c r="P72" s="11">
        <v>0.69699999999999995</v>
      </c>
      <c r="Q72" s="5">
        <v>0</v>
      </c>
      <c r="R72" t="b">
        <f t="shared" si="1"/>
        <v>0</v>
      </c>
      <c r="T72" s="2" t="s">
        <v>174</v>
      </c>
      <c r="U72" s="7" t="s">
        <v>95</v>
      </c>
      <c r="V72" s="7">
        <v>2019</v>
      </c>
      <c r="W72" s="2" t="s">
        <v>45</v>
      </c>
      <c r="X72" s="2" t="s">
        <v>39</v>
      </c>
      <c r="Y72" s="2">
        <v>-0.1</v>
      </c>
      <c r="Z72" s="2">
        <v>6</v>
      </c>
      <c r="AA72" s="32">
        <v>1</v>
      </c>
      <c r="AB72" s="2">
        <v>1</v>
      </c>
      <c r="AC72" s="2">
        <v>6.31</v>
      </c>
      <c r="AD72" s="2">
        <v>1.44</v>
      </c>
      <c r="AE72" s="5">
        <v>85</v>
      </c>
      <c r="AF72" s="5">
        <v>23</v>
      </c>
      <c r="AG72" s="5">
        <v>22</v>
      </c>
      <c r="AH72" s="5">
        <v>5.08</v>
      </c>
      <c r="AI72" s="5">
        <v>1.4</v>
      </c>
      <c r="AJ72" s="5">
        <v>0</v>
      </c>
      <c r="AK72" s="42">
        <v>0</v>
      </c>
    </row>
    <row r="73" spans="1:37">
      <c r="A73" s="2" t="s">
        <v>157</v>
      </c>
      <c r="B73" s="2" t="s">
        <v>156</v>
      </c>
      <c r="C73" s="37">
        <v>2019</v>
      </c>
      <c r="D73" s="2" t="s">
        <v>53</v>
      </c>
      <c r="E73" s="2" t="s">
        <v>54</v>
      </c>
      <c r="F73" s="2">
        <v>12.5</v>
      </c>
      <c r="G73" s="2">
        <v>368</v>
      </c>
      <c r="H73" s="2">
        <v>1389</v>
      </c>
      <c r="I73" s="2">
        <v>50</v>
      </c>
      <c r="J73" s="2">
        <v>0.26600000000000001</v>
      </c>
      <c r="K73" s="2">
        <v>0.79100000000000004</v>
      </c>
      <c r="L73" s="2">
        <v>180</v>
      </c>
      <c r="M73" s="2">
        <v>651</v>
      </c>
      <c r="N73" s="2">
        <v>30</v>
      </c>
      <c r="O73" s="2">
        <v>0.28100000000000003</v>
      </c>
      <c r="P73" s="2">
        <v>0.877</v>
      </c>
      <c r="Q73" s="5">
        <v>2</v>
      </c>
      <c r="R73" t="b">
        <f>IF(F73&gt;3, TRUE, FALSE)</f>
        <v>1</v>
      </c>
      <c r="T73" s="2" t="s">
        <v>175</v>
      </c>
      <c r="U73" s="7" t="s">
        <v>114</v>
      </c>
      <c r="V73" s="7">
        <v>2019</v>
      </c>
      <c r="W73" s="2" t="s">
        <v>45</v>
      </c>
      <c r="X73" s="2" t="s">
        <v>39</v>
      </c>
      <c r="Y73" s="2">
        <v>-1.3</v>
      </c>
      <c r="Z73" s="2">
        <v>20</v>
      </c>
      <c r="AA73" s="32">
        <v>5</v>
      </c>
      <c r="AB73" s="2">
        <v>9</v>
      </c>
      <c r="AC73" s="2">
        <v>6.46</v>
      </c>
      <c r="AD73" s="2">
        <v>1.58</v>
      </c>
      <c r="AE73" s="5">
        <v>78</v>
      </c>
      <c r="AF73" s="5">
        <v>25</v>
      </c>
      <c r="AG73" s="5">
        <v>16</v>
      </c>
      <c r="AH73" s="5">
        <v>3.59</v>
      </c>
      <c r="AI73" s="5">
        <v>1.26</v>
      </c>
      <c r="AJ73" s="5">
        <v>0</v>
      </c>
      <c r="AK73" s="42">
        <v>0</v>
      </c>
    </row>
    <row r="74" spans="1:37">
      <c r="A74" s="2" t="s">
        <v>158</v>
      </c>
      <c r="B74" s="2" t="s">
        <v>92</v>
      </c>
      <c r="C74" s="37">
        <v>2019</v>
      </c>
      <c r="D74" s="2" t="s">
        <v>58</v>
      </c>
      <c r="E74" s="2" t="s">
        <v>54</v>
      </c>
      <c r="F74" s="2">
        <v>12.4</v>
      </c>
      <c r="G74" s="2">
        <v>418</v>
      </c>
      <c r="H74" s="2">
        <v>1669</v>
      </c>
      <c r="I74" s="2">
        <v>70</v>
      </c>
      <c r="J74" s="2">
        <v>0.28799999999999998</v>
      </c>
      <c r="K74" s="2">
        <v>0.83099999999999996</v>
      </c>
      <c r="L74" s="34">
        <v>160</v>
      </c>
      <c r="M74" s="2">
        <v>661</v>
      </c>
      <c r="N74" s="34">
        <v>34</v>
      </c>
      <c r="O74" s="34">
        <v>0.28299999999999997</v>
      </c>
      <c r="P74" s="35">
        <v>0.87</v>
      </c>
      <c r="Q74" s="5">
        <v>1</v>
      </c>
      <c r="R74" t="b">
        <f t="shared" ref="R74:R98" si="2">IF(F74&gt;3, TRUE, FALSE)</f>
        <v>1</v>
      </c>
      <c r="T74" s="2" t="s">
        <v>176</v>
      </c>
      <c r="U74" s="7" t="s">
        <v>124</v>
      </c>
      <c r="V74" s="7">
        <v>2019</v>
      </c>
      <c r="W74" s="2" t="s">
        <v>45</v>
      </c>
      <c r="X74" s="2" t="s">
        <v>39</v>
      </c>
      <c r="Y74" s="2">
        <v>0.6</v>
      </c>
      <c r="Z74" s="2">
        <v>52</v>
      </c>
      <c r="AA74" s="24">
        <v>6</v>
      </c>
      <c r="AB74" s="2">
        <v>10</v>
      </c>
      <c r="AC74" s="2">
        <v>4.5</v>
      </c>
      <c r="AD74" s="2">
        <v>1.36</v>
      </c>
      <c r="AE74" s="5">
        <v>78</v>
      </c>
      <c r="AF74" s="5">
        <v>7</v>
      </c>
      <c r="AG74" s="5">
        <v>19</v>
      </c>
      <c r="AH74" s="5">
        <v>5.94</v>
      </c>
      <c r="AI74" s="5">
        <v>1.67</v>
      </c>
      <c r="AJ74" s="5">
        <v>0</v>
      </c>
      <c r="AK74" s="42">
        <v>0</v>
      </c>
    </row>
    <row r="75" spans="1:37">
      <c r="A75" s="2" t="s">
        <v>159</v>
      </c>
      <c r="B75" s="2" t="s">
        <v>47</v>
      </c>
      <c r="C75" s="37">
        <v>2019</v>
      </c>
      <c r="D75" s="2" t="s">
        <v>103</v>
      </c>
      <c r="E75" s="2" t="s">
        <v>54</v>
      </c>
      <c r="F75" s="2">
        <v>0.6</v>
      </c>
      <c r="G75" s="2">
        <v>514</v>
      </c>
      <c r="H75" s="2">
        <v>1877</v>
      </c>
      <c r="I75" s="2">
        <v>66</v>
      </c>
      <c r="J75" s="2">
        <v>0.251</v>
      </c>
      <c r="K75" s="2">
        <v>0.72199999999999998</v>
      </c>
      <c r="L75" s="2">
        <v>57</v>
      </c>
      <c r="M75" s="34">
        <v>212</v>
      </c>
      <c r="N75" s="34">
        <v>8</v>
      </c>
      <c r="O75" s="34">
        <v>0.27800000000000002</v>
      </c>
      <c r="P75" s="34">
        <v>0.85799999999999998</v>
      </c>
      <c r="Q75" s="5">
        <v>0</v>
      </c>
      <c r="R75" t="b">
        <f t="shared" si="2"/>
        <v>0</v>
      </c>
      <c r="T75" s="2" t="s">
        <v>177</v>
      </c>
      <c r="U75" s="7" t="s">
        <v>60</v>
      </c>
      <c r="V75" s="7">
        <v>2019</v>
      </c>
      <c r="W75" s="2" t="s">
        <v>45</v>
      </c>
      <c r="X75" s="2" t="s">
        <v>39</v>
      </c>
      <c r="Y75" s="2">
        <v>8.1999999999999993</v>
      </c>
      <c r="Z75" s="2">
        <v>79</v>
      </c>
      <c r="AA75" s="24">
        <v>29</v>
      </c>
      <c r="AB75" s="2">
        <v>22</v>
      </c>
      <c r="AC75" s="2">
        <v>3.27</v>
      </c>
      <c r="AD75" s="2">
        <v>1.08</v>
      </c>
      <c r="AE75" s="5">
        <v>30</v>
      </c>
      <c r="AF75" s="5">
        <v>7</v>
      </c>
      <c r="AG75" s="5">
        <v>4</v>
      </c>
      <c r="AH75" s="5">
        <v>2.61</v>
      </c>
      <c r="AI75" s="5">
        <v>1.07</v>
      </c>
      <c r="AJ75" s="5">
        <v>1</v>
      </c>
      <c r="AK75" s="42">
        <v>1</v>
      </c>
    </row>
    <row r="76" spans="1:37">
      <c r="A76" s="2" t="s">
        <v>160</v>
      </c>
      <c r="B76" s="2" t="s">
        <v>42</v>
      </c>
      <c r="C76" s="37">
        <v>2019</v>
      </c>
      <c r="D76" s="2" t="s">
        <v>62</v>
      </c>
      <c r="E76" s="2" t="s">
        <v>54</v>
      </c>
      <c r="F76" s="2">
        <v>1.6</v>
      </c>
      <c r="G76" s="2">
        <v>255</v>
      </c>
      <c r="H76" s="2">
        <v>846</v>
      </c>
      <c r="I76" s="2">
        <v>28</v>
      </c>
      <c r="J76" s="2">
        <v>0.20799999999999999</v>
      </c>
      <c r="K76" s="2">
        <v>0.68700000000000006</v>
      </c>
      <c r="L76" s="24">
        <v>261</v>
      </c>
      <c r="M76" s="34">
        <v>947</v>
      </c>
      <c r="N76" s="34">
        <v>43</v>
      </c>
      <c r="O76" s="34">
        <v>0.23799999999999999</v>
      </c>
      <c r="P76" s="34">
        <v>0.78700000000000003</v>
      </c>
      <c r="Q76" s="5">
        <v>0</v>
      </c>
      <c r="R76" t="b">
        <f t="shared" si="2"/>
        <v>0</v>
      </c>
      <c r="T76" s="2" t="s">
        <v>181</v>
      </c>
      <c r="U76" s="7" t="s">
        <v>105</v>
      </c>
      <c r="V76" s="7">
        <v>2019</v>
      </c>
      <c r="W76" s="2" t="s">
        <v>45</v>
      </c>
      <c r="X76" s="2" t="s">
        <v>39</v>
      </c>
      <c r="Y76" s="2">
        <v>0</v>
      </c>
      <c r="Z76" s="2">
        <v>0</v>
      </c>
      <c r="AA76" s="23">
        <v>0</v>
      </c>
      <c r="AB76" s="2">
        <v>0</v>
      </c>
      <c r="AC76" s="23">
        <v>0</v>
      </c>
      <c r="AD76" s="2">
        <v>0</v>
      </c>
      <c r="AE76" s="5">
        <v>33</v>
      </c>
      <c r="AF76" s="5">
        <v>4</v>
      </c>
      <c r="AG76" s="5">
        <v>11</v>
      </c>
      <c r="AH76" s="5">
        <v>3.57</v>
      </c>
      <c r="AI76" s="5">
        <v>1.06</v>
      </c>
      <c r="AJ76" s="5">
        <v>0</v>
      </c>
      <c r="AK76" s="42">
        <v>0</v>
      </c>
    </row>
    <row r="77" spans="1:37">
      <c r="A77" s="2" t="s">
        <v>161</v>
      </c>
      <c r="B77" s="2" t="s">
        <v>111</v>
      </c>
      <c r="C77" s="37">
        <v>2019</v>
      </c>
      <c r="D77" s="2" t="s">
        <v>62</v>
      </c>
      <c r="E77" s="2" t="s">
        <v>54</v>
      </c>
      <c r="F77" s="2">
        <v>7</v>
      </c>
      <c r="G77" s="2">
        <v>293</v>
      </c>
      <c r="H77" s="2">
        <v>1125</v>
      </c>
      <c r="I77" s="2">
        <v>33</v>
      </c>
      <c r="J77" s="2">
        <v>0.26800000000000002</v>
      </c>
      <c r="K77" s="2">
        <v>0.77300000000000002</v>
      </c>
      <c r="L77" s="24">
        <v>201</v>
      </c>
      <c r="M77" s="34">
        <v>786</v>
      </c>
      <c r="N77" s="34">
        <v>31</v>
      </c>
      <c r="O77" s="34">
        <v>0.29399999999999998</v>
      </c>
      <c r="P77" s="34">
        <v>0.86299999999999999</v>
      </c>
      <c r="Q77" s="5">
        <v>1</v>
      </c>
      <c r="R77" t="b">
        <f t="shared" si="2"/>
        <v>1</v>
      </c>
      <c r="T77" s="2" t="s">
        <v>183</v>
      </c>
      <c r="U77" s="7" t="s">
        <v>89</v>
      </c>
      <c r="V77" s="7">
        <v>2019</v>
      </c>
      <c r="W77" s="2" t="s">
        <v>38</v>
      </c>
      <c r="X77" s="2" t="s">
        <v>39</v>
      </c>
      <c r="Y77" s="2">
        <v>0.3</v>
      </c>
      <c r="Z77" s="2">
        <v>3</v>
      </c>
      <c r="AA77" s="24">
        <v>0</v>
      </c>
      <c r="AB77" s="2">
        <v>0</v>
      </c>
      <c r="AC77" s="2">
        <v>2.84</v>
      </c>
      <c r="AD77" s="2">
        <v>1.42</v>
      </c>
      <c r="AE77" s="5">
        <v>88</v>
      </c>
      <c r="AF77" s="5">
        <v>27</v>
      </c>
      <c r="AG77" s="5">
        <v>15</v>
      </c>
      <c r="AH77" s="5">
        <v>4.37</v>
      </c>
      <c r="AI77" s="5">
        <v>1.44</v>
      </c>
      <c r="AJ77" s="5">
        <v>0</v>
      </c>
      <c r="AK77" s="42">
        <v>0</v>
      </c>
    </row>
    <row r="78" spans="1:37">
      <c r="A78" s="2" t="s">
        <v>162</v>
      </c>
      <c r="B78" s="2" t="s">
        <v>81</v>
      </c>
      <c r="C78" s="37">
        <v>2019</v>
      </c>
      <c r="D78" s="2" t="s">
        <v>58</v>
      </c>
      <c r="E78" s="2" t="s">
        <v>54</v>
      </c>
      <c r="F78" s="2">
        <v>7</v>
      </c>
      <c r="G78" s="2">
        <v>342</v>
      </c>
      <c r="H78" s="2">
        <v>1249</v>
      </c>
      <c r="I78" s="2">
        <v>35</v>
      </c>
      <c r="J78" s="2">
        <v>0.249</v>
      </c>
      <c r="K78" s="2">
        <v>0.71099999999999997</v>
      </c>
      <c r="L78" s="24">
        <v>114</v>
      </c>
      <c r="M78" s="34">
        <v>483</v>
      </c>
      <c r="N78" s="34">
        <v>12</v>
      </c>
      <c r="O78" s="34">
        <v>0.33100000000000002</v>
      </c>
      <c r="P78" s="34">
        <v>0.89600000000000002</v>
      </c>
      <c r="Q78" s="5">
        <v>1</v>
      </c>
      <c r="R78" t="b">
        <f t="shared" si="2"/>
        <v>1</v>
      </c>
      <c r="T78" s="2" t="s">
        <v>184</v>
      </c>
      <c r="U78" s="7" t="s">
        <v>51</v>
      </c>
      <c r="V78" s="7">
        <v>2019</v>
      </c>
      <c r="W78" s="2" t="s">
        <v>45</v>
      </c>
      <c r="X78" s="2" t="s">
        <v>39</v>
      </c>
      <c r="Y78" s="2">
        <v>0</v>
      </c>
      <c r="Z78" s="2">
        <v>0</v>
      </c>
      <c r="AA78" s="23">
        <v>0</v>
      </c>
      <c r="AB78" s="2">
        <v>0</v>
      </c>
      <c r="AC78" s="2">
        <v>0</v>
      </c>
      <c r="AD78" s="2">
        <v>0</v>
      </c>
      <c r="AE78" s="5">
        <v>117</v>
      </c>
      <c r="AF78" s="5">
        <v>11</v>
      </c>
      <c r="AG78" s="5">
        <v>22</v>
      </c>
      <c r="AH78" s="5">
        <v>4.21</v>
      </c>
      <c r="AI78" s="5">
        <v>1.46</v>
      </c>
      <c r="AJ78" s="5">
        <v>0</v>
      </c>
      <c r="AK78" s="42">
        <v>0</v>
      </c>
    </row>
    <row r="79" spans="1:37">
      <c r="A79" s="2" t="s">
        <v>164</v>
      </c>
      <c r="B79" s="2" t="s">
        <v>131</v>
      </c>
      <c r="C79" s="37">
        <v>2019</v>
      </c>
      <c r="D79" s="2" t="s">
        <v>119</v>
      </c>
      <c r="E79" s="2" t="s">
        <v>54</v>
      </c>
      <c r="F79" s="2">
        <v>3</v>
      </c>
      <c r="G79" s="2">
        <v>154</v>
      </c>
      <c r="H79" s="2">
        <v>599</v>
      </c>
      <c r="I79" s="2">
        <v>30</v>
      </c>
      <c r="J79" s="2">
        <v>0.25900000000000001</v>
      </c>
      <c r="K79" s="2">
        <v>0.77400000000000002</v>
      </c>
      <c r="L79" s="24">
        <v>160</v>
      </c>
      <c r="M79" s="34">
        <v>629</v>
      </c>
      <c r="N79" s="34">
        <v>30</v>
      </c>
      <c r="O79" s="35">
        <v>0.31</v>
      </c>
      <c r="P79" s="34">
        <v>0.90800000000000003</v>
      </c>
      <c r="Q79" s="5">
        <v>1</v>
      </c>
      <c r="R79" t="b">
        <f>IF(F79&gt;=3, TRUE, FALSE)</f>
        <v>1</v>
      </c>
      <c r="T79" s="2" t="s">
        <v>185</v>
      </c>
      <c r="U79" s="7" t="s">
        <v>78</v>
      </c>
      <c r="V79" s="7">
        <v>2019</v>
      </c>
      <c r="W79" s="2" t="s">
        <v>38</v>
      </c>
      <c r="X79" s="2" t="s">
        <v>39</v>
      </c>
      <c r="Y79" s="2">
        <v>-0.3</v>
      </c>
      <c r="Z79" s="2">
        <v>4</v>
      </c>
      <c r="AA79" s="24">
        <v>0</v>
      </c>
      <c r="AB79" s="2">
        <v>0</v>
      </c>
      <c r="AC79" s="2">
        <v>8.7100000000000009</v>
      </c>
      <c r="AD79" s="2">
        <v>2.61</v>
      </c>
      <c r="AE79" s="5">
        <v>97</v>
      </c>
      <c r="AF79" s="5">
        <v>13</v>
      </c>
      <c r="AG79" s="5">
        <v>14</v>
      </c>
      <c r="AH79" s="5">
        <v>3.16</v>
      </c>
      <c r="AI79" s="5">
        <v>1.25</v>
      </c>
      <c r="AJ79" s="5">
        <v>0</v>
      </c>
      <c r="AK79" s="42">
        <v>0</v>
      </c>
    </row>
    <row r="80" spans="1:37">
      <c r="A80" s="2" t="s">
        <v>165</v>
      </c>
      <c r="B80" s="2" t="s">
        <v>136</v>
      </c>
      <c r="C80" s="37">
        <v>2019</v>
      </c>
      <c r="D80" s="2" t="s">
        <v>53</v>
      </c>
      <c r="E80" s="2" t="s">
        <v>54</v>
      </c>
      <c r="F80" s="2">
        <v>3.3</v>
      </c>
      <c r="G80" s="2">
        <v>267</v>
      </c>
      <c r="H80" s="2">
        <v>912</v>
      </c>
      <c r="I80" s="2">
        <v>48</v>
      </c>
      <c r="J80" s="2">
        <v>0.21099999999999999</v>
      </c>
      <c r="K80" s="2">
        <v>0.69699999999999995</v>
      </c>
      <c r="L80" s="24">
        <v>243</v>
      </c>
      <c r="M80" s="34">
        <v>909</v>
      </c>
      <c r="N80" s="34">
        <v>43</v>
      </c>
      <c r="O80" s="35">
        <v>0.26600000000000001</v>
      </c>
      <c r="P80" s="34">
        <v>0.80600000000000005</v>
      </c>
      <c r="Q80" s="5">
        <v>0</v>
      </c>
      <c r="R80" t="b">
        <f t="shared" si="2"/>
        <v>1</v>
      </c>
      <c r="T80" s="2" t="s">
        <v>191</v>
      </c>
      <c r="U80" s="7" t="s">
        <v>89</v>
      </c>
      <c r="V80" s="7">
        <v>2019</v>
      </c>
      <c r="W80" s="2" t="s">
        <v>45</v>
      </c>
      <c r="X80" s="2" t="s">
        <v>39</v>
      </c>
      <c r="Y80" s="2">
        <v>0</v>
      </c>
      <c r="Z80" s="2">
        <v>0</v>
      </c>
      <c r="AA80" s="23">
        <v>0</v>
      </c>
      <c r="AB80" s="2">
        <v>0</v>
      </c>
      <c r="AC80" s="2">
        <v>0</v>
      </c>
      <c r="AD80" s="2">
        <v>0</v>
      </c>
      <c r="AE80" s="5">
        <v>29</v>
      </c>
      <c r="AF80" s="5">
        <v>2</v>
      </c>
      <c r="AG80" s="5">
        <v>4</v>
      </c>
      <c r="AH80" s="5">
        <v>4.54</v>
      </c>
      <c r="AI80" s="5">
        <v>1.6</v>
      </c>
      <c r="AJ80" s="5">
        <v>0</v>
      </c>
      <c r="AK80" s="42">
        <v>0</v>
      </c>
    </row>
    <row r="81" spans="1:37">
      <c r="A81" s="2" t="s">
        <v>166</v>
      </c>
      <c r="B81" s="2" t="s">
        <v>83</v>
      </c>
      <c r="C81" s="37">
        <v>2019</v>
      </c>
      <c r="D81" s="2" t="s">
        <v>62</v>
      </c>
      <c r="E81" s="2" t="s">
        <v>54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4">
        <v>217</v>
      </c>
      <c r="M81" s="34">
        <v>776</v>
      </c>
      <c r="N81" s="34">
        <v>26</v>
      </c>
      <c r="O81" s="35">
        <v>0.22700000000000001</v>
      </c>
      <c r="P81" s="34">
        <v>0.71899999999999997</v>
      </c>
      <c r="Q81" s="5">
        <v>0</v>
      </c>
      <c r="R81" t="b">
        <f t="shared" si="2"/>
        <v>0</v>
      </c>
      <c r="T81" s="2" t="s">
        <v>192</v>
      </c>
      <c r="U81" s="7" t="s">
        <v>89</v>
      </c>
      <c r="V81" s="7">
        <v>2019</v>
      </c>
      <c r="W81" s="2" t="s">
        <v>45</v>
      </c>
      <c r="X81" s="2" t="s">
        <v>39</v>
      </c>
      <c r="Y81" s="2">
        <v>2</v>
      </c>
      <c r="Z81" s="2">
        <v>19</v>
      </c>
      <c r="AA81" s="24">
        <v>6</v>
      </c>
      <c r="AB81" s="2">
        <v>1</v>
      </c>
      <c r="AC81" s="2">
        <v>2.63</v>
      </c>
      <c r="AD81" s="2">
        <v>1.31</v>
      </c>
      <c r="AE81" s="5">
        <v>60</v>
      </c>
      <c r="AF81" s="5">
        <v>6</v>
      </c>
      <c r="AG81" s="5">
        <v>9</v>
      </c>
      <c r="AH81" s="5">
        <v>5.34</v>
      </c>
      <c r="AI81" s="5">
        <v>1.4</v>
      </c>
      <c r="AJ81" s="5">
        <v>0</v>
      </c>
      <c r="AK81" s="42">
        <v>0</v>
      </c>
    </row>
    <row r="82" spans="1:37">
      <c r="A82" s="2" t="s">
        <v>168</v>
      </c>
      <c r="B82" s="2" t="s">
        <v>73</v>
      </c>
      <c r="C82" s="37">
        <v>2019</v>
      </c>
      <c r="D82" s="2" t="s">
        <v>119</v>
      </c>
      <c r="E82" s="2" t="s">
        <v>54</v>
      </c>
      <c r="F82" s="2">
        <v>-0.7</v>
      </c>
      <c r="G82" s="2">
        <v>169</v>
      </c>
      <c r="H82" s="2">
        <v>544</v>
      </c>
      <c r="I82" s="2">
        <v>15</v>
      </c>
      <c r="J82" s="2">
        <v>0.215</v>
      </c>
      <c r="K82" s="2">
        <v>0.60699999999999998</v>
      </c>
      <c r="L82" s="24">
        <v>309</v>
      </c>
      <c r="M82" s="34">
        <v>1159</v>
      </c>
      <c r="N82" s="34">
        <v>59</v>
      </c>
      <c r="O82" s="35">
        <v>0.28599999999999998</v>
      </c>
      <c r="P82" s="34">
        <v>0.89100000000000001</v>
      </c>
      <c r="Q82" s="5">
        <v>0</v>
      </c>
      <c r="R82" t="b">
        <f t="shared" si="2"/>
        <v>0</v>
      </c>
      <c r="T82" s="2" t="s">
        <v>194</v>
      </c>
      <c r="U82" s="7" t="s">
        <v>101</v>
      </c>
      <c r="V82" s="7">
        <v>2019</v>
      </c>
      <c r="W82" s="2" t="s">
        <v>45</v>
      </c>
      <c r="X82" s="2" t="s">
        <v>39</v>
      </c>
      <c r="Y82" s="2">
        <v>0</v>
      </c>
      <c r="Z82" s="2">
        <v>0</v>
      </c>
      <c r="AA82" s="23">
        <v>0</v>
      </c>
      <c r="AB82" s="2">
        <v>0</v>
      </c>
      <c r="AC82" s="2">
        <v>0</v>
      </c>
      <c r="AD82" s="2">
        <v>0</v>
      </c>
      <c r="AE82" s="5">
        <v>77</v>
      </c>
      <c r="AF82" s="5">
        <v>14</v>
      </c>
      <c r="AG82" s="5">
        <v>4</v>
      </c>
      <c r="AH82" s="5">
        <v>4.5199999999999996</v>
      </c>
      <c r="AI82" s="5">
        <v>1.29</v>
      </c>
      <c r="AJ82" s="5">
        <v>0</v>
      </c>
      <c r="AK82" s="42">
        <v>0</v>
      </c>
    </row>
    <row r="83" spans="1:37">
      <c r="A83" s="2" t="s">
        <v>169</v>
      </c>
      <c r="B83" s="2" t="s">
        <v>56</v>
      </c>
      <c r="C83" s="37">
        <v>2019</v>
      </c>
      <c r="D83" s="2" t="s">
        <v>58</v>
      </c>
      <c r="E83" s="2" t="s">
        <v>54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4">
        <v>284</v>
      </c>
      <c r="M83" s="34">
        <v>1021</v>
      </c>
      <c r="N83" s="34">
        <v>23</v>
      </c>
      <c r="O83" s="35">
        <v>0.21199999999999999</v>
      </c>
      <c r="P83" s="34">
        <v>0.60199999999999998</v>
      </c>
      <c r="Q83" s="5">
        <v>0</v>
      </c>
      <c r="R83" t="b">
        <f t="shared" si="2"/>
        <v>0</v>
      </c>
      <c r="T83" s="2" t="s">
        <v>196</v>
      </c>
      <c r="U83" s="7" t="s">
        <v>187</v>
      </c>
      <c r="V83" s="7">
        <v>2019</v>
      </c>
      <c r="W83" s="2" t="s">
        <v>38</v>
      </c>
      <c r="X83" s="2" t="s">
        <v>39</v>
      </c>
      <c r="Y83" s="2">
        <v>0</v>
      </c>
      <c r="Z83" s="2">
        <v>0</v>
      </c>
      <c r="AA83" s="24">
        <v>0</v>
      </c>
      <c r="AB83" s="2">
        <v>0</v>
      </c>
      <c r="AC83" s="2">
        <v>0</v>
      </c>
      <c r="AD83" s="2">
        <v>0</v>
      </c>
      <c r="AE83" s="5">
        <v>71</v>
      </c>
      <c r="AF83" s="5">
        <v>8</v>
      </c>
      <c r="AG83" s="5">
        <v>13</v>
      </c>
      <c r="AH83" s="5">
        <v>4.92</v>
      </c>
      <c r="AI83" s="5">
        <v>1.26</v>
      </c>
      <c r="AJ83" s="5">
        <v>0</v>
      </c>
      <c r="AK83" s="42">
        <v>0</v>
      </c>
    </row>
    <row r="84" spans="1:37">
      <c r="A84" s="2" t="s">
        <v>170</v>
      </c>
      <c r="B84" s="2" t="s">
        <v>64</v>
      </c>
      <c r="C84" s="37">
        <v>2019</v>
      </c>
      <c r="D84" s="2" t="s">
        <v>58</v>
      </c>
      <c r="E84" s="2" t="s">
        <v>54</v>
      </c>
      <c r="F84" s="2">
        <v>7.8</v>
      </c>
      <c r="G84" s="2">
        <v>378</v>
      </c>
      <c r="H84" s="2">
        <v>1347</v>
      </c>
      <c r="I84" s="2">
        <v>32</v>
      </c>
      <c r="J84" s="2">
        <v>0.25800000000000001</v>
      </c>
      <c r="K84" s="2">
        <v>0.70299999999999996</v>
      </c>
      <c r="L84" s="24">
        <v>169</v>
      </c>
      <c r="M84" s="34">
        <v>620</v>
      </c>
      <c r="N84" s="34">
        <v>24</v>
      </c>
      <c r="O84" s="35">
        <v>0.3</v>
      </c>
      <c r="P84" s="34">
        <v>0.88400000000000001</v>
      </c>
      <c r="Q84" s="5">
        <v>0</v>
      </c>
      <c r="R84" t="b">
        <f t="shared" si="2"/>
        <v>1</v>
      </c>
      <c r="T84" s="2" t="s">
        <v>199</v>
      </c>
      <c r="U84" s="7" t="s">
        <v>101</v>
      </c>
      <c r="V84" s="7">
        <v>2019</v>
      </c>
      <c r="W84" s="2" t="s">
        <v>45</v>
      </c>
      <c r="X84" s="2" t="s">
        <v>39</v>
      </c>
      <c r="Y84" s="2">
        <v>0</v>
      </c>
      <c r="Z84" s="2">
        <v>0</v>
      </c>
      <c r="AA84" s="23">
        <v>0</v>
      </c>
      <c r="AB84" s="2">
        <v>0</v>
      </c>
      <c r="AC84" s="2">
        <v>0</v>
      </c>
      <c r="AD84" s="2">
        <v>0</v>
      </c>
      <c r="AE84" s="5">
        <v>63</v>
      </c>
      <c r="AF84" s="5">
        <v>7</v>
      </c>
      <c r="AG84" s="5">
        <v>16</v>
      </c>
      <c r="AH84" s="5">
        <v>2.91</v>
      </c>
      <c r="AI84" s="5">
        <v>1.29</v>
      </c>
      <c r="AJ84" s="5">
        <v>0</v>
      </c>
      <c r="AK84" s="42">
        <v>0</v>
      </c>
    </row>
    <row r="85" spans="1:37">
      <c r="A85" s="2" t="s">
        <v>171</v>
      </c>
      <c r="B85" s="2" t="s">
        <v>86</v>
      </c>
      <c r="C85" s="37">
        <v>2019</v>
      </c>
      <c r="D85" s="2" t="s">
        <v>58</v>
      </c>
      <c r="E85" s="2" t="s">
        <v>54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4">
        <v>432</v>
      </c>
      <c r="M85" s="34">
        <v>1599</v>
      </c>
      <c r="N85" s="34">
        <v>56</v>
      </c>
      <c r="O85" s="35">
        <v>0.23300000000000001</v>
      </c>
      <c r="P85" s="34">
        <v>0.70399999999999996</v>
      </c>
      <c r="Q85" s="5">
        <v>0</v>
      </c>
      <c r="R85" t="b">
        <f t="shared" si="2"/>
        <v>0</v>
      </c>
      <c r="T85" s="2"/>
      <c r="U85" s="2"/>
      <c r="V85" s="37"/>
      <c r="W85" s="2"/>
      <c r="X85" s="2"/>
      <c r="Y85" s="2"/>
      <c r="Z85" s="2"/>
      <c r="AA85" s="2"/>
      <c r="AB85" s="2"/>
      <c r="AC85" s="2"/>
      <c r="AD85" s="2"/>
      <c r="AE85" s="2"/>
      <c r="AF85" s="34"/>
      <c r="AG85" s="34"/>
      <c r="AH85" s="35"/>
      <c r="AI85" s="34"/>
      <c r="AJ85" s="5"/>
    </row>
    <row r="86" spans="1:37">
      <c r="A86" s="2" t="s">
        <v>172</v>
      </c>
      <c r="B86" s="2" t="s">
        <v>89</v>
      </c>
      <c r="C86" s="37">
        <v>2019</v>
      </c>
      <c r="D86" s="2" t="s">
        <v>62</v>
      </c>
      <c r="E86" s="2" t="s">
        <v>54</v>
      </c>
      <c r="F86" s="2">
        <v>7.2</v>
      </c>
      <c r="G86" s="2">
        <v>292</v>
      </c>
      <c r="H86" s="2">
        <v>1060</v>
      </c>
      <c r="I86" s="2">
        <v>37</v>
      </c>
      <c r="J86" s="2">
        <v>0.25700000000000001</v>
      </c>
      <c r="K86" s="2">
        <v>0.78900000000000003</v>
      </c>
      <c r="L86" s="24">
        <v>142</v>
      </c>
      <c r="M86" s="34">
        <v>539</v>
      </c>
      <c r="N86" s="34">
        <v>28</v>
      </c>
      <c r="O86" s="35">
        <v>0.31</v>
      </c>
      <c r="P86" s="34">
        <v>1.014</v>
      </c>
      <c r="Q86" s="5">
        <v>1</v>
      </c>
      <c r="R86" t="b">
        <f t="shared" si="2"/>
        <v>1</v>
      </c>
      <c r="T86" s="2"/>
      <c r="U86" s="2"/>
      <c r="V86" s="37"/>
      <c r="W86" s="2"/>
      <c r="X86" s="2"/>
      <c r="Y86" s="2"/>
      <c r="Z86" s="2"/>
      <c r="AA86" s="2"/>
      <c r="AB86" s="2"/>
      <c r="AC86" s="2"/>
      <c r="AD86" s="2"/>
      <c r="AE86" s="2"/>
      <c r="AF86" s="34"/>
      <c r="AG86" s="34"/>
      <c r="AH86" s="35"/>
      <c r="AI86" s="34"/>
      <c r="AJ86" s="5"/>
    </row>
    <row r="87" spans="1:37">
      <c r="A87" s="2" t="s">
        <v>178</v>
      </c>
      <c r="B87" s="2" t="s">
        <v>136</v>
      </c>
      <c r="C87" s="37">
        <v>2019</v>
      </c>
      <c r="D87" s="2" t="s">
        <v>58</v>
      </c>
      <c r="E87" s="2" t="s">
        <v>54</v>
      </c>
      <c r="F87" s="2">
        <v>-0.7</v>
      </c>
      <c r="G87" s="2">
        <v>31</v>
      </c>
      <c r="H87" s="2">
        <v>68</v>
      </c>
      <c r="I87" s="2">
        <v>1</v>
      </c>
      <c r="J87" s="2">
        <v>0.11799999999999999</v>
      </c>
      <c r="K87" s="2">
        <v>0.318</v>
      </c>
      <c r="L87" s="24">
        <v>356</v>
      </c>
      <c r="M87" s="34">
        <v>1356</v>
      </c>
      <c r="N87" s="34">
        <v>38</v>
      </c>
      <c r="O87" s="35">
        <v>0.248</v>
      </c>
      <c r="P87" s="34">
        <v>0.70799999999999996</v>
      </c>
      <c r="Q87" s="5">
        <v>0</v>
      </c>
      <c r="R87" t="b">
        <f t="shared" si="2"/>
        <v>0</v>
      </c>
      <c r="T87" s="2"/>
      <c r="U87" s="2"/>
      <c r="V87" s="37"/>
      <c r="W87" s="2"/>
      <c r="X87" s="2"/>
      <c r="Y87" s="2"/>
      <c r="Z87" s="2"/>
      <c r="AA87" s="2"/>
      <c r="AB87" s="2"/>
      <c r="AC87" s="2"/>
      <c r="AD87" s="2"/>
      <c r="AE87" s="2"/>
      <c r="AF87" s="34"/>
      <c r="AG87" s="34"/>
      <c r="AH87" s="35"/>
      <c r="AI87" s="34"/>
      <c r="AJ87" s="5"/>
    </row>
    <row r="88" spans="1:37">
      <c r="A88" s="2" t="s">
        <v>179</v>
      </c>
      <c r="B88" s="2" t="s">
        <v>101</v>
      </c>
      <c r="C88" s="37">
        <v>2019</v>
      </c>
      <c r="D88" s="2" t="s">
        <v>58</v>
      </c>
      <c r="E88" s="2" t="s">
        <v>54</v>
      </c>
      <c r="F88" s="2">
        <v>0.1</v>
      </c>
      <c r="G88" s="2">
        <v>6</v>
      </c>
      <c r="H88" s="2">
        <v>5</v>
      </c>
      <c r="I88" s="2">
        <v>1</v>
      </c>
      <c r="J88" s="2">
        <v>0.2</v>
      </c>
      <c r="K88" s="2">
        <v>1.133</v>
      </c>
      <c r="L88" s="24">
        <v>321</v>
      </c>
      <c r="M88" s="34">
        <v>1241</v>
      </c>
      <c r="N88" s="34">
        <v>40</v>
      </c>
      <c r="O88" s="35">
        <v>0.26400000000000001</v>
      </c>
      <c r="P88" s="34">
        <v>0.78700000000000003</v>
      </c>
      <c r="Q88" s="5">
        <v>0</v>
      </c>
      <c r="R88" t="b">
        <f t="shared" si="2"/>
        <v>0</v>
      </c>
      <c r="T88" s="2"/>
      <c r="U88" s="2"/>
      <c r="V88" s="37"/>
      <c r="W88" s="2"/>
      <c r="X88" s="2"/>
      <c r="Y88" s="2"/>
      <c r="Z88" s="2"/>
      <c r="AA88" s="2"/>
      <c r="AB88" s="2"/>
      <c r="AC88" s="2"/>
      <c r="AD88" s="2"/>
      <c r="AE88" s="2"/>
      <c r="AF88" s="34"/>
      <c r="AG88" s="34"/>
      <c r="AH88" s="35"/>
      <c r="AI88" s="34"/>
      <c r="AJ88" s="5"/>
    </row>
    <row r="89" spans="1:37">
      <c r="A89" s="2" t="s">
        <v>180</v>
      </c>
      <c r="B89" s="2" t="s">
        <v>67</v>
      </c>
      <c r="C89" s="37">
        <v>2019</v>
      </c>
      <c r="D89" s="2" t="s">
        <v>103</v>
      </c>
      <c r="E89" s="2" t="s">
        <v>54</v>
      </c>
      <c r="F89" s="2">
        <v>-0.4</v>
      </c>
      <c r="G89" s="2">
        <v>140</v>
      </c>
      <c r="H89" s="2">
        <v>473</v>
      </c>
      <c r="I89" s="2">
        <v>25</v>
      </c>
      <c r="J89" s="2">
        <v>0.19900000000000001</v>
      </c>
      <c r="K89" s="2">
        <v>0.67</v>
      </c>
      <c r="L89" s="24">
        <v>378</v>
      </c>
      <c r="M89" s="34">
        <v>1426</v>
      </c>
      <c r="N89" s="34">
        <v>86</v>
      </c>
      <c r="O89" s="35">
        <v>0.247</v>
      </c>
      <c r="P89" s="34">
        <v>0.83399999999999996</v>
      </c>
      <c r="Q89" s="5">
        <v>0</v>
      </c>
      <c r="R89" t="b">
        <f t="shared" si="2"/>
        <v>0</v>
      </c>
      <c r="T89" s="2"/>
      <c r="U89" s="2"/>
      <c r="V89" s="37"/>
      <c r="W89" s="2"/>
      <c r="X89" s="2"/>
      <c r="Y89" s="2"/>
      <c r="Z89" s="2"/>
      <c r="AA89" s="2"/>
      <c r="AB89" s="2"/>
      <c r="AC89" s="2"/>
      <c r="AD89" s="2"/>
      <c r="AE89" s="2"/>
      <c r="AF89" s="34"/>
      <c r="AG89" s="34"/>
      <c r="AH89" s="35"/>
      <c r="AI89" s="34"/>
      <c r="AJ89" s="5"/>
    </row>
    <row r="90" spans="1:37">
      <c r="A90" s="2" t="s">
        <v>182</v>
      </c>
      <c r="B90" s="2" t="s">
        <v>108</v>
      </c>
      <c r="C90" s="37">
        <v>2019</v>
      </c>
      <c r="D90" s="2" t="s">
        <v>119</v>
      </c>
      <c r="E90" s="2" t="s">
        <v>54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4">
        <v>377</v>
      </c>
      <c r="M90" s="34">
        <v>1385</v>
      </c>
      <c r="N90" s="34">
        <v>36</v>
      </c>
      <c r="O90" s="35">
        <v>0.248</v>
      </c>
      <c r="P90" s="34">
        <v>0.69</v>
      </c>
      <c r="Q90" s="5">
        <v>0</v>
      </c>
      <c r="R90" t="b">
        <f t="shared" si="2"/>
        <v>0</v>
      </c>
      <c r="T90" s="2"/>
      <c r="U90" s="2"/>
      <c r="V90" s="37"/>
      <c r="W90" s="2"/>
      <c r="X90" s="2"/>
      <c r="Y90" s="2"/>
      <c r="Z90" s="2"/>
      <c r="AA90" s="2"/>
      <c r="AB90" s="2"/>
      <c r="AC90" s="2"/>
      <c r="AD90" s="2"/>
      <c r="AE90" s="2"/>
      <c r="AF90" s="34"/>
      <c r="AG90" s="34"/>
      <c r="AH90" s="35"/>
      <c r="AI90" s="34"/>
      <c r="AJ90" s="5"/>
    </row>
    <row r="91" spans="1:37">
      <c r="A91" s="2" t="s">
        <v>186</v>
      </c>
      <c r="B91" s="2" t="s">
        <v>117</v>
      </c>
      <c r="C91" s="37">
        <v>2019</v>
      </c>
      <c r="D91" s="2" t="s">
        <v>58</v>
      </c>
      <c r="E91" s="2" t="s">
        <v>54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4">
        <v>450</v>
      </c>
      <c r="M91" s="34">
        <v>1661</v>
      </c>
      <c r="N91" s="34">
        <v>42</v>
      </c>
      <c r="O91" s="35">
        <v>0.249</v>
      </c>
      <c r="P91" s="34">
        <v>0.72</v>
      </c>
      <c r="Q91" s="5">
        <v>0</v>
      </c>
      <c r="R91" t="b">
        <f t="shared" si="2"/>
        <v>0</v>
      </c>
    </row>
    <row r="92" spans="1:37">
      <c r="A92" s="2" t="s">
        <v>188</v>
      </c>
      <c r="B92" s="2" t="s">
        <v>187</v>
      </c>
      <c r="C92" s="37">
        <v>2019</v>
      </c>
      <c r="D92" s="2" t="s">
        <v>58</v>
      </c>
      <c r="E92" s="2" t="s">
        <v>54</v>
      </c>
      <c r="F92" s="2">
        <v>6.1</v>
      </c>
      <c r="G92" s="2">
        <v>268</v>
      </c>
      <c r="H92" s="2">
        <v>996</v>
      </c>
      <c r="I92" s="2">
        <v>30</v>
      </c>
      <c r="J92" s="2">
        <v>0.23</v>
      </c>
      <c r="K92" s="2">
        <v>0.67800000000000005</v>
      </c>
      <c r="L92" s="24">
        <v>275</v>
      </c>
      <c r="M92" s="34">
        <v>1044</v>
      </c>
      <c r="N92" s="34">
        <v>50</v>
      </c>
      <c r="O92" s="35">
        <v>0.26200000000000001</v>
      </c>
      <c r="P92" s="34">
        <v>0.88100000000000001</v>
      </c>
      <c r="Q92" s="5">
        <v>0</v>
      </c>
      <c r="R92" t="b">
        <f t="shared" si="2"/>
        <v>1</v>
      </c>
    </row>
    <row r="93" spans="1:37">
      <c r="A93" s="2" t="s">
        <v>189</v>
      </c>
      <c r="B93" s="2" t="s">
        <v>108</v>
      </c>
      <c r="C93" s="37">
        <v>2019</v>
      </c>
      <c r="D93" s="2" t="s">
        <v>144</v>
      </c>
      <c r="E93" s="2" t="s">
        <v>54</v>
      </c>
      <c r="F93" s="2">
        <v>2.2000000000000002</v>
      </c>
      <c r="G93" s="2">
        <v>131</v>
      </c>
      <c r="H93" s="2">
        <v>407</v>
      </c>
      <c r="I93" s="2">
        <v>15</v>
      </c>
      <c r="J93" s="2">
        <v>0.24099999999999999</v>
      </c>
      <c r="K93" s="2">
        <v>0.746</v>
      </c>
      <c r="L93" s="2">
        <v>357</v>
      </c>
      <c r="M93" s="34">
        <v>1375</v>
      </c>
      <c r="N93" s="34">
        <v>79</v>
      </c>
      <c r="O93" s="35">
        <v>0.28299999999999997</v>
      </c>
      <c r="P93" s="34">
        <v>0.91900000000000004</v>
      </c>
      <c r="Q93" s="5">
        <v>0</v>
      </c>
      <c r="R93" t="b">
        <f t="shared" si="2"/>
        <v>0</v>
      </c>
      <c r="T93">
        <f>COUNTIF(R52:R98,TRUE)</f>
        <v>14</v>
      </c>
    </row>
    <row r="94" spans="1:37">
      <c r="A94" s="2" t="s">
        <v>190</v>
      </c>
      <c r="B94" s="2" t="s">
        <v>35</v>
      </c>
      <c r="C94" s="37">
        <v>2019</v>
      </c>
      <c r="D94" s="2" t="s">
        <v>53</v>
      </c>
      <c r="E94" s="2" t="s">
        <v>54</v>
      </c>
      <c r="F94" s="2">
        <v>-1</v>
      </c>
      <c r="G94" s="2">
        <v>122</v>
      </c>
      <c r="H94" s="2">
        <v>344</v>
      </c>
      <c r="I94" s="2">
        <v>10</v>
      </c>
      <c r="J94" s="2">
        <v>0.183</v>
      </c>
      <c r="K94" s="2">
        <v>0.53</v>
      </c>
      <c r="L94" s="2">
        <v>338</v>
      </c>
      <c r="M94" s="34">
        <v>1291</v>
      </c>
      <c r="N94" s="34">
        <v>44</v>
      </c>
      <c r="O94" s="35">
        <v>0.26300000000000001</v>
      </c>
      <c r="P94" s="34">
        <v>0.75600000000000001</v>
      </c>
      <c r="Q94" s="5">
        <v>0</v>
      </c>
      <c r="R94" t="b">
        <f t="shared" si="2"/>
        <v>0</v>
      </c>
    </row>
    <row r="95" spans="1:37">
      <c r="A95" s="2" t="s">
        <v>193</v>
      </c>
      <c r="B95" s="2" t="s">
        <v>42</v>
      </c>
      <c r="C95" s="37">
        <v>2019</v>
      </c>
      <c r="D95" s="2" t="s">
        <v>62</v>
      </c>
      <c r="E95" s="2" t="s">
        <v>54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485</v>
      </c>
      <c r="M95" s="34">
        <v>1762</v>
      </c>
      <c r="N95" s="34">
        <v>66</v>
      </c>
      <c r="O95" s="35">
        <v>0.246</v>
      </c>
      <c r="P95" s="34">
        <v>0.80200000000000005</v>
      </c>
      <c r="Q95" s="5">
        <v>0</v>
      </c>
      <c r="R95" t="b">
        <f t="shared" si="2"/>
        <v>0</v>
      </c>
    </row>
    <row r="96" spans="1:37">
      <c r="A96" s="2" t="s">
        <v>195</v>
      </c>
      <c r="B96" s="2" t="s">
        <v>114</v>
      </c>
      <c r="C96" s="37">
        <v>2019</v>
      </c>
      <c r="D96" s="2" t="s">
        <v>62</v>
      </c>
      <c r="E96" s="2" t="s">
        <v>54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367</v>
      </c>
      <c r="M96" s="34">
        <v>1264</v>
      </c>
      <c r="N96" s="34">
        <v>32</v>
      </c>
      <c r="O96" s="35">
        <v>0.23100000000000001</v>
      </c>
      <c r="P96" s="34">
        <v>0.70599999999999996</v>
      </c>
      <c r="Q96" s="5">
        <v>0</v>
      </c>
      <c r="R96" t="b">
        <f t="shared" si="2"/>
        <v>0</v>
      </c>
    </row>
    <row r="97" spans="1:18">
      <c r="A97" s="2" t="s">
        <v>197</v>
      </c>
      <c r="B97" s="2" t="s">
        <v>56</v>
      </c>
      <c r="C97" s="37">
        <v>2019</v>
      </c>
      <c r="D97" s="2" t="s">
        <v>62</v>
      </c>
      <c r="E97" s="2" t="s">
        <v>54</v>
      </c>
      <c r="F97" s="2">
        <v>3</v>
      </c>
      <c r="G97" s="2">
        <v>122</v>
      </c>
      <c r="H97" s="2">
        <v>339</v>
      </c>
      <c r="I97" s="2">
        <v>22</v>
      </c>
      <c r="J97" s="2">
        <v>0.248</v>
      </c>
      <c r="K97" s="2">
        <v>0.872</v>
      </c>
      <c r="L97" s="2">
        <v>395</v>
      </c>
      <c r="M97" s="34">
        <v>1487</v>
      </c>
      <c r="N97" s="34">
        <v>80</v>
      </c>
      <c r="O97" s="35">
        <v>0.27100000000000002</v>
      </c>
      <c r="P97" s="34">
        <v>0.89600000000000002</v>
      </c>
      <c r="Q97" s="5">
        <v>0</v>
      </c>
      <c r="R97" t="b">
        <f>IF(F97&gt;=3, TRUE, FALSE)</f>
        <v>1</v>
      </c>
    </row>
    <row r="98" spans="1:18">
      <c r="A98" s="2" t="s">
        <v>200</v>
      </c>
      <c r="B98" s="2" t="s">
        <v>131</v>
      </c>
      <c r="C98" s="37">
        <v>2019</v>
      </c>
      <c r="D98" s="2" t="s">
        <v>119</v>
      </c>
      <c r="E98" s="2" t="s">
        <v>54</v>
      </c>
      <c r="F98" s="2">
        <v>0</v>
      </c>
      <c r="G98" s="2">
        <v>27</v>
      </c>
      <c r="H98" s="2">
        <v>47</v>
      </c>
      <c r="I98" s="2">
        <v>1</v>
      </c>
      <c r="J98" s="2">
        <v>0.128</v>
      </c>
      <c r="K98" s="2">
        <v>0.39700000000000002</v>
      </c>
      <c r="L98" s="2">
        <v>323</v>
      </c>
      <c r="M98" s="34">
        <v>1165</v>
      </c>
      <c r="N98" s="34">
        <v>62</v>
      </c>
      <c r="O98" s="35">
        <v>0.23400000000000001</v>
      </c>
      <c r="P98" s="34">
        <v>0.78100000000000003</v>
      </c>
      <c r="Q98" s="5">
        <v>0</v>
      </c>
      <c r="R98" t="b">
        <f t="shared" si="2"/>
        <v>0</v>
      </c>
    </row>
    <row r="99" spans="1:18">
      <c r="A99" s="2"/>
      <c r="B99" s="2"/>
      <c r="C99" s="37"/>
      <c r="D99" s="2"/>
      <c r="E99" s="2"/>
      <c r="F99" s="2"/>
      <c r="G99" s="2"/>
      <c r="H99" s="2"/>
      <c r="I99" s="2"/>
      <c r="J99" s="2"/>
      <c r="K99" s="2"/>
      <c r="L99" s="43"/>
      <c r="M99" s="44"/>
      <c r="N99" s="44"/>
      <c r="O99" s="45"/>
      <c r="P99" s="44"/>
      <c r="Q99" s="42"/>
    </row>
    <row r="103" spans="1:18">
      <c r="C103" s="37"/>
    </row>
    <row r="114" spans="1:18">
      <c r="R114" s="5"/>
    </row>
    <row r="115" spans="1:18">
      <c r="R115" s="5"/>
    </row>
    <row r="116" spans="1:18">
      <c r="R116" s="5"/>
    </row>
    <row r="117" spans="1:18">
      <c r="F117" s="8"/>
      <c r="R117" s="5"/>
    </row>
    <row r="118" spans="1:18">
      <c r="R118" s="5"/>
    </row>
    <row r="119" spans="1:18" hidden="1">
      <c r="C119" s="2">
        <v>0.4</v>
      </c>
      <c r="F119" s="2">
        <v>0</v>
      </c>
      <c r="H119" s="38">
        <v>0</v>
      </c>
      <c r="I119" s="2"/>
      <c r="J119" s="2"/>
      <c r="R119" s="5">
        <v>0</v>
      </c>
    </row>
    <row r="120" spans="1:18" hidden="1">
      <c r="C120" s="2">
        <v>35.4</v>
      </c>
      <c r="F120" s="2">
        <v>0</v>
      </c>
      <c r="H120" s="38">
        <v>252</v>
      </c>
      <c r="I120" t="s">
        <v>248</v>
      </c>
      <c r="J120" t="s">
        <v>249</v>
      </c>
      <c r="R120" s="5">
        <v>0</v>
      </c>
    </row>
    <row r="121" spans="1:18" hidden="1">
      <c r="C121" s="2">
        <v>-2.6</v>
      </c>
      <c r="D121">
        <v>0.3</v>
      </c>
      <c r="E121" s="2">
        <v>0</v>
      </c>
      <c r="F121" s="2">
        <v>184</v>
      </c>
      <c r="H121" s="38">
        <v>225</v>
      </c>
      <c r="I121" s="2">
        <v>3.7</v>
      </c>
      <c r="J121" s="2">
        <v>1.1200000000000001</v>
      </c>
      <c r="R121" s="5">
        <v>0</v>
      </c>
    </row>
    <row r="122" spans="1:18" hidden="1">
      <c r="A122" s="2">
        <v>-1.7</v>
      </c>
      <c r="C122" s="2">
        <v>0.2</v>
      </c>
      <c r="D122">
        <v>2.2000000000000002</v>
      </c>
      <c r="E122" s="2">
        <v>0.6</v>
      </c>
      <c r="F122" s="2">
        <v>190</v>
      </c>
      <c r="H122" s="38">
        <v>71</v>
      </c>
      <c r="I122" s="2">
        <v>4.92</v>
      </c>
      <c r="J122" s="2">
        <v>1.45</v>
      </c>
      <c r="R122" s="5">
        <v>0</v>
      </c>
    </row>
    <row r="123" spans="1:18" hidden="1">
      <c r="A123" s="2">
        <v>16.600000000000001</v>
      </c>
      <c r="B123" s="2">
        <v>34.5</v>
      </c>
      <c r="C123" s="2">
        <v>-0.2</v>
      </c>
      <c r="E123" s="2">
        <v>-0.4</v>
      </c>
      <c r="F123" s="2">
        <v>175</v>
      </c>
      <c r="H123" s="38">
        <v>77</v>
      </c>
      <c r="I123" s="2">
        <v>5.55</v>
      </c>
      <c r="J123" s="2">
        <v>1.58</v>
      </c>
      <c r="R123" s="5">
        <v>1</v>
      </c>
    </row>
    <row r="124" spans="1:18" hidden="1">
      <c r="A124" s="2">
        <v>2.9</v>
      </c>
      <c r="B124" s="2">
        <v>3</v>
      </c>
      <c r="C124" s="2">
        <v>0</v>
      </c>
      <c r="F124" s="2">
        <v>67</v>
      </c>
      <c r="H124" s="38">
        <v>120</v>
      </c>
      <c r="I124" s="2">
        <v>5.21</v>
      </c>
      <c r="J124" s="2">
        <v>1.47</v>
      </c>
      <c r="R124" s="5">
        <v>0</v>
      </c>
    </row>
    <row r="125" spans="1:18" hidden="1">
      <c r="A125" s="2">
        <v>-0.3</v>
      </c>
      <c r="B125" s="2">
        <v>-0.7</v>
      </c>
      <c r="C125" s="2">
        <v>12.4</v>
      </c>
      <c r="F125" s="2">
        <v>7</v>
      </c>
      <c r="H125" s="38">
        <v>0</v>
      </c>
      <c r="I125" s="2">
        <v>4.9800000000000004</v>
      </c>
      <c r="J125" s="2">
        <v>1.45</v>
      </c>
      <c r="R125" s="5">
        <v>1</v>
      </c>
    </row>
    <row r="126" spans="1:18" hidden="1">
      <c r="A126" s="2">
        <v>3.8</v>
      </c>
      <c r="B126" s="2">
        <v>0</v>
      </c>
      <c r="C126" s="2">
        <v>7</v>
      </c>
      <c r="F126" s="2">
        <v>48</v>
      </c>
      <c r="H126" s="38">
        <v>6</v>
      </c>
      <c r="I126" s="2">
        <v>1.42</v>
      </c>
      <c r="J126" s="2">
        <v>0.87</v>
      </c>
      <c r="R126" s="5">
        <v>0</v>
      </c>
    </row>
    <row r="127" spans="1:18" hidden="1">
      <c r="A127" s="2">
        <v>0.2</v>
      </c>
      <c r="B127" s="2">
        <v>0</v>
      </c>
      <c r="C127" s="2">
        <v>0</v>
      </c>
      <c r="F127" s="2">
        <v>43</v>
      </c>
      <c r="H127" s="38">
        <v>175</v>
      </c>
      <c r="I127" s="2">
        <v>4.95</v>
      </c>
      <c r="J127" s="2">
        <v>1.39</v>
      </c>
      <c r="R127" s="5">
        <v>0</v>
      </c>
    </row>
    <row r="128" spans="1:18" hidden="1">
      <c r="A128" s="2">
        <v>0</v>
      </c>
      <c r="C128" s="2">
        <v>7.8</v>
      </c>
      <c r="F128" s="2">
        <v>3</v>
      </c>
      <c r="H128" s="38">
        <v>24</v>
      </c>
      <c r="I128" s="2">
        <v>4.76</v>
      </c>
      <c r="J128" s="2">
        <v>1.71</v>
      </c>
      <c r="R128" s="5">
        <v>0</v>
      </c>
    </row>
    <row r="129" spans="1:10" hidden="1">
      <c r="A129" s="2">
        <v>0</v>
      </c>
      <c r="C129" s="2">
        <v>0</v>
      </c>
      <c r="F129" s="2">
        <v>4</v>
      </c>
      <c r="H129" s="38">
        <v>139</v>
      </c>
      <c r="I129" s="2">
        <v>4.3499999999999996</v>
      </c>
      <c r="J129" s="2">
        <v>1.35</v>
      </c>
    </row>
    <row r="130" spans="1:10" hidden="1">
      <c r="A130" s="2">
        <v>1.6</v>
      </c>
      <c r="C130" s="2">
        <v>-0.7</v>
      </c>
      <c r="F130" s="2">
        <v>0</v>
      </c>
      <c r="H130" s="38">
        <v>146</v>
      </c>
      <c r="I130" s="2">
        <v>3.69</v>
      </c>
      <c r="J130" s="2">
        <v>1.19</v>
      </c>
    </row>
    <row r="131" spans="1:10" hidden="1">
      <c r="A131" s="2">
        <v>7</v>
      </c>
      <c r="C131" s="2">
        <v>0.1</v>
      </c>
      <c r="H131" s="38">
        <v>75</v>
      </c>
      <c r="I131" s="2">
        <v>3.34</v>
      </c>
      <c r="J131" s="2">
        <v>1.1599999999999999</v>
      </c>
    </row>
    <row r="132" spans="1:10" hidden="1">
      <c r="A132" s="2">
        <v>0</v>
      </c>
      <c r="C132" s="2">
        <v>0</v>
      </c>
      <c r="H132" s="38">
        <v>6</v>
      </c>
      <c r="I132" s="2">
        <v>6.31</v>
      </c>
      <c r="J132" s="2">
        <v>1.44</v>
      </c>
    </row>
    <row r="133" spans="1:10" hidden="1">
      <c r="A133" s="2">
        <v>7.2</v>
      </c>
      <c r="C133" s="2">
        <v>6.1</v>
      </c>
      <c r="H133" s="38">
        <v>20</v>
      </c>
      <c r="I133" s="2">
        <v>6.46</v>
      </c>
      <c r="J133" s="2">
        <v>1.58</v>
      </c>
    </row>
    <row r="134" spans="1:10" hidden="1">
      <c r="A134" s="2">
        <v>0</v>
      </c>
      <c r="H134" s="38">
        <v>52</v>
      </c>
      <c r="I134" s="2">
        <v>4.5</v>
      </c>
      <c r="J134" s="2">
        <v>1.36</v>
      </c>
    </row>
    <row r="135" spans="1:10" hidden="1">
      <c r="A135" s="2">
        <v>0</v>
      </c>
      <c r="H135" s="38">
        <v>79</v>
      </c>
      <c r="I135" s="2">
        <v>3.27</v>
      </c>
      <c r="J135" s="2">
        <v>1.08</v>
      </c>
    </row>
    <row r="136" spans="1:10" hidden="1">
      <c r="A136" s="2">
        <v>3</v>
      </c>
      <c r="H136" s="38">
        <v>0</v>
      </c>
      <c r="I136" s="2">
        <v>2.63</v>
      </c>
      <c r="J136" s="2">
        <v>1.31</v>
      </c>
    </row>
    <row r="137" spans="1:10" hidden="1">
      <c r="H137" s="38">
        <v>0</v>
      </c>
      <c r="I137" s="2"/>
      <c r="J137" s="2"/>
    </row>
    <row r="138" spans="1:10" hidden="1">
      <c r="H138" s="38">
        <v>0</v>
      </c>
      <c r="I138" s="2"/>
      <c r="J138" s="2"/>
    </row>
    <row r="139" spans="1:10" hidden="1">
      <c r="H139" s="38">
        <v>19</v>
      </c>
    </row>
    <row r="140" spans="1:10" hidden="1">
      <c r="H140" s="38">
        <v>0</v>
      </c>
      <c r="I140" s="2"/>
      <c r="J140" s="2"/>
    </row>
    <row r="141" spans="1:10" hidden="1">
      <c r="H141" s="38">
        <v>0</v>
      </c>
      <c r="I141" s="2"/>
      <c r="J141" s="2"/>
    </row>
    <row r="143" spans="1:10" hidden="1"/>
    <row r="144" spans="1:10" hidden="1"/>
    <row r="145" spans="7:20" hidden="1">
      <c r="G145" s="2">
        <v>1058</v>
      </c>
      <c r="J145" s="5">
        <v>2</v>
      </c>
    </row>
    <row r="146" spans="7:20" hidden="1">
      <c r="G146" s="5">
        <v>0</v>
      </c>
      <c r="H146" s="5"/>
      <c r="I146" s="5"/>
      <c r="J146" s="5">
        <v>0</v>
      </c>
      <c r="Q146" s="5">
        <v>0</v>
      </c>
    </row>
    <row r="147" spans="7:20" hidden="1">
      <c r="G147" s="2">
        <v>0</v>
      </c>
      <c r="H147" s="2"/>
      <c r="I147" s="2"/>
      <c r="J147" s="5">
        <v>0</v>
      </c>
      <c r="Q147" s="5">
        <v>2</v>
      </c>
      <c r="T147" s="5">
        <v>0</v>
      </c>
    </row>
    <row r="148" spans="7:20" hidden="1">
      <c r="G148" s="2">
        <v>0</v>
      </c>
      <c r="H148" s="2">
        <v>0.22900000000000001</v>
      </c>
      <c r="I148" s="11">
        <v>0.83</v>
      </c>
      <c r="J148" s="5">
        <v>0</v>
      </c>
      <c r="Q148" s="5">
        <v>0</v>
      </c>
      <c r="T148" s="5">
        <v>1</v>
      </c>
    </row>
    <row r="149" spans="7:20" hidden="1">
      <c r="G149" s="2">
        <v>368</v>
      </c>
      <c r="H149" s="2">
        <v>0.26600000000000001</v>
      </c>
      <c r="I149" s="2">
        <v>0.79100000000000004</v>
      </c>
      <c r="J149" s="5">
        <v>2</v>
      </c>
      <c r="Q149" s="5">
        <v>0</v>
      </c>
      <c r="T149" s="5">
        <v>0</v>
      </c>
    </row>
    <row r="150" spans="7:20" hidden="1">
      <c r="G150" s="2">
        <v>267</v>
      </c>
      <c r="H150" s="2">
        <v>0.21099999999999999</v>
      </c>
      <c r="I150" s="2">
        <v>0.69699999999999995</v>
      </c>
      <c r="J150" s="5">
        <v>0</v>
      </c>
      <c r="Q150" s="5">
        <v>0</v>
      </c>
      <c r="T150" s="5">
        <v>0</v>
      </c>
    </row>
    <row r="151" spans="7:20" hidden="1">
      <c r="G151" s="2">
        <v>122</v>
      </c>
      <c r="H151" s="2">
        <v>0.183</v>
      </c>
      <c r="I151" s="2">
        <v>0.53</v>
      </c>
      <c r="J151" s="5">
        <v>0</v>
      </c>
      <c r="Q151" s="5">
        <v>0</v>
      </c>
      <c r="T151" s="5">
        <v>0</v>
      </c>
    </row>
    <row r="152" spans="7:20" hidden="1">
      <c r="Q152" s="5">
        <v>0</v>
      </c>
      <c r="T152" s="5">
        <v>0</v>
      </c>
    </row>
    <row r="153" spans="7:20" hidden="1">
      <c r="Q153" s="5">
        <v>0</v>
      </c>
      <c r="T153" s="5">
        <v>0</v>
      </c>
    </row>
    <row r="154" spans="7:20" hidden="1">
      <c r="G154" s="2">
        <v>0</v>
      </c>
      <c r="H154" s="2">
        <v>0</v>
      </c>
      <c r="I154" s="2">
        <v>0</v>
      </c>
      <c r="Q154" s="5">
        <v>0</v>
      </c>
      <c r="T154" s="5">
        <v>0</v>
      </c>
    </row>
    <row r="155" spans="7:20" hidden="1">
      <c r="G155" s="2">
        <v>514</v>
      </c>
      <c r="H155" s="2">
        <v>0.251</v>
      </c>
      <c r="I155" s="2">
        <v>0.72199999999999998</v>
      </c>
      <c r="Q155" s="5">
        <v>0</v>
      </c>
      <c r="T155" s="5">
        <v>0</v>
      </c>
    </row>
    <row r="156" spans="7:20" hidden="1">
      <c r="G156" s="2">
        <v>140</v>
      </c>
      <c r="H156" s="2">
        <v>0.19900000000000001</v>
      </c>
      <c r="I156" s="2">
        <v>0.67</v>
      </c>
      <c r="Q156" s="5">
        <v>0</v>
      </c>
      <c r="T156" s="5">
        <v>1</v>
      </c>
    </row>
    <row r="157" spans="7:20" hidden="1">
      <c r="Q157" s="5">
        <v>1</v>
      </c>
      <c r="T157" s="5">
        <v>0</v>
      </c>
    </row>
    <row r="158" spans="7:20" hidden="1">
      <c r="Q158" s="5">
        <v>1</v>
      </c>
      <c r="T158" s="5">
        <v>1</v>
      </c>
    </row>
    <row r="159" spans="7:20" hidden="1">
      <c r="Q159" s="5">
        <v>0</v>
      </c>
      <c r="T159" s="5">
        <v>0</v>
      </c>
    </row>
    <row r="160" spans="7:20" hidden="1">
      <c r="G160" s="2">
        <v>317</v>
      </c>
      <c r="H160" s="2">
        <v>0.246</v>
      </c>
      <c r="I160" s="2">
        <v>0.67900000000000005</v>
      </c>
      <c r="Q160" s="5">
        <v>0</v>
      </c>
      <c r="T160" s="5">
        <v>0</v>
      </c>
    </row>
    <row r="161" spans="7:20" hidden="1">
      <c r="G161" s="2">
        <v>1052</v>
      </c>
      <c r="H161" s="2">
        <v>0.29799999999999999</v>
      </c>
      <c r="I161" s="2">
        <v>0.83399999999999996</v>
      </c>
      <c r="Q161" s="5">
        <v>0</v>
      </c>
      <c r="T161" s="5">
        <v>0</v>
      </c>
    </row>
    <row r="162" spans="7:20" hidden="1">
      <c r="G162" s="2">
        <v>183</v>
      </c>
      <c r="H162" s="2">
        <v>0.21299999999999999</v>
      </c>
      <c r="I162" s="2">
        <v>0.58199999999999996</v>
      </c>
      <c r="Q162" s="5">
        <v>1</v>
      </c>
    </row>
    <row r="163" spans="7:20" hidden="1">
      <c r="G163" s="2">
        <v>357</v>
      </c>
      <c r="H163" s="2">
        <v>0.23799999999999999</v>
      </c>
      <c r="I163" s="2">
        <v>0.68500000000000005</v>
      </c>
      <c r="Q163" s="5">
        <v>0</v>
      </c>
    </row>
    <row r="164" spans="7:20" hidden="1">
      <c r="G164" s="2">
        <v>135</v>
      </c>
      <c r="H164" s="2">
        <v>0.22700000000000001</v>
      </c>
      <c r="I164" s="2">
        <v>0.63</v>
      </c>
      <c r="Q164" s="5">
        <v>0</v>
      </c>
    </row>
    <row r="165" spans="7:20" hidden="1">
      <c r="G165" s="2">
        <v>0</v>
      </c>
      <c r="H165" s="2">
        <v>0.28799999999999998</v>
      </c>
      <c r="I165" s="2">
        <v>0.83099999999999996</v>
      </c>
      <c r="Q165" s="5">
        <v>0</v>
      </c>
    </row>
    <row r="166" spans="7:20" hidden="1">
      <c r="G166" s="2">
        <v>418</v>
      </c>
      <c r="H166" s="2">
        <v>0.249</v>
      </c>
      <c r="I166" s="2">
        <v>0.71099999999999997</v>
      </c>
      <c r="Q166" s="5">
        <v>0</v>
      </c>
    </row>
    <row r="167" spans="7:20" hidden="1">
      <c r="G167" s="2">
        <v>342</v>
      </c>
      <c r="H167" s="2">
        <v>0.25800000000000001</v>
      </c>
      <c r="I167" s="2">
        <v>0.70299999999999996</v>
      </c>
      <c r="Q167" s="5">
        <v>0</v>
      </c>
    </row>
    <row r="168" spans="7:20" hidden="1">
      <c r="G168" s="2">
        <v>0</v>
      </c>
      <c r="H168" s="2">
        <v>0.11799999999999999</v>
      </c>
      <c r="I168" s="2">
        <v>0.318</v>
      </c>
      <c r="Q168" s="5">
        <v>0</v>
      </c>
    </row>
    <row r="169" spans="7:20" hidden="1">
      <c r="G169" s="2">
        <v>378</v>
      </c>
      <c r="H169" s="2">
        <v>0.2</v>
      </c>
      <c r="I169" s="2">
        <v>1.133</v>
      </c>
    </row>
    <row r="170" spans="7:20" hidden="1">
      <c r="G170" s="2">
        <v>0</v>
      </c>
      <c r="H170" s="2">
        <v>0.23</v>
      </c>
      <c r="I170" s="2">
        <v>0.67800000000000005</v>
      </c>
    </row>
    <row r="171" spans="7:20" hidden="1">
      <c r="G171" s="2">
        <v>31</v>
      </c>
    </row>
    <row r="172" spans="7:20" hidden="1">
      <c r="G172" s="2">
        <v>6</v>
      </c>
    </row>
    <row r="173" spans="7:20" hidden="1">
      <c r="G173" s="2">
        <v>0</v>
      </c>
    </row>
    <row r="174" spans="7:20" hidden="1">
      <c r="G174" s="2">
        <v>268</v>
      </c>
    </row>
    <row r="175" spans="7:20" hidden="1">
      <c r="T175" s="5">
        <v>0</v>
      </c>
    </row>
    <row r="176" spans="7:20" hidden="1">
      <c r="T176" s="5">
        <v>2</v>
      </c>
    </row>
    <row r="177" spans="6:20" hidden="1">
      <c r="T177" s="5">
        <v>0</v>
      </c>
    </row>
    <row r="178" spans="6:20" hidden="1">
      <c r="T178" s="5">
        <v>0</v>
      </c>
    </row>
    <row r="179" spans="6:20" hidden="1">
      <c r="T179" s="5">
        <v>0</v>
      </c>
    </row>
    <row r="180" spans="6:20" hidden="1">
      <c r="F180" s="2">
        <v>953</v>
      </c>
      <c r="G180" s="2">
        <v>0.24099999999999999</v>
      </c>
      <c r="H180" s="2">
        <v>0.78700000000000003</v>
      </c>
      <c r="T180" s="5">
        <v>0</v>
      </c>
    </row>
    <row r="181" spans="6:20" hidden="1">
      <c r="F181" s="2">
        <v>154</v>
      </c>
      <c r="G181" s="2">
        <v>0.25900000000000001</v>
      </c>
      <c r="H181" s="2">
        <v>0.77400000000000002</v>
      </c>
      <c r="T181" s="5">
        <v>1</v>
      </c>
    </row>
    <row r="182" spans="6:20" hidden="1">
      <c r="F182" s="2">
        <v>169</v>
      </c>
      <c r="G182" s="2">
        <v>0.215</v>
      </c>
      <c r="H182" s="2">
        <v>0.60699999999999998</v>
      </c>
      <c r="T182" s="5">
        <v>1</v>
      </c>
    </row>
    <row r="183" spans="6:20" hidden="1">
      <c r="F183" s="2">
        <v>0</v>
      </c>
      <c r="G183" s="2">
        <v>0.128</v>
      </c>
      <c r="H183" s="2">
        <v>0.39700000000000002</v>
      </c>
      <c r="T183" s="5">
        <v>0</v>
      </c>
    </row>
    <row r="184" spans="6:20" hidden="1">
      <c r="F184" s="2">
        <v>27</v>
      </c>
      <c r="T184" s="5">
        <v>0</v>
      </c>
    </row>
    <row r="185" spans="6:20" hidden="1">
      <c r="T185" s="5">
        <v>0</v>
      </c>
    </row>
    <row r="186" spans="6:20" hidden="1">
      <c r="T186" s="5">
        <v>0</v>
      </c>
    </row>
    <row r="187" spans="6:20" hidden="1">
      <c r="T187" s="5">
        <v>0</v>
      </c>
    </row>
    <row r="188" spans="6:20" hidden="1">
      <c r="T188" s="5">
        <v>0</v>
      </c>
    </row>
    <row r="189" spans="6:20" hidden="1">
      <c r="T189" s="5">
        <v>0</v>
      </c>
    </row>
    <row r="190" spans="6:20" hidden="1"/>
    <row r="191" spans="6:20" hidden="1"/>
    <row r="192" spans="6:20" hidden="1"/>
    <row r="193" spans="2:4" hidden="1"/>
    <row r="194" spans="2:4" hidden="1">
      <c r="B194" s="2">
        <v>97</v>
      </c>
      <c r="C194" s="2">
        <v>0.11899999999999999</v>
      </c>
      <c r="D194" s="2">
        <v>0.41099999999999998</v>
      </c>
    </row>
    <row r="195" spans="2:4" hidden="1">
      <c r="B195" s="2">
        <v>946</v>
      </c>
      <c r="C195" s="2">
        <v>0.251</v>
      </c>
      <c r="D195" s="2">
        <v>0.80500000000000005</v>
      </c>
    </row>
    <row r="196" spans="2:4" hidden="1">
      <c r="B196" s="2">
        <v>372</v>
      </c>
      <c r="C196" s="2">
        <v>0.21299999999999999</v>
      </c>
      <c r="D196" s="2">
        <v>0.63100000000000001</v>
      </c>
    </row>
    <row r="197" spans="2:4" hidden="1">
      <c r="B197" s="2">
        <v>119</v>
      </c>
      <c r="C197" s="2">
        <v>0.23</v>
      </c>
      <c r="D197" s="2">
        <v>0.61699999999999999</v>
      </c>
    </row>
    <row r="198" spans="2:4" hidden="1">
      <c r="B198" s="2">
        <v>390</v>
      </c>
      <c r="C198" s="2">
        <v>0.247</v>
      </c>
      <c r="D198" s="2">
        <v>0.73899999999999999</v>
      </c>
    </row>
    <row r="199" spans="2:4" hidden="1">
      <c r="B199" s="2">
        <v>172</v>
      </c>
      <c r="C199" s="2">
        <v>0.19500000000000001</v>
      </c>
      <c r="D199" s="2">
        <v>0.66300000000000003</v>
      </c>
    </row>
    <row r="200" spans="2:4" hidden="1">
      <c r="B200" s="2">
        <v>0</v>
      </c>
      <c r="C200" s="2">
        <v>0.20799999999999999</v>
      </c>
      <c r="D200" s="2">
        <v>0.68700000000000006</v>
      </c>
    </row>
    <row r="201" spans="2:4" hidden="1">
      <c r="B201" s="2">
        <v>0</v>
      </c>
      <c r="C201" s="2">
        <v>0.26800000000000002</v>
      </c>
      <c r="D201" s="2">
        <v>0.77300000000000002</v>
      </c>
    </row>
    <row r="202" spans="2:4" hidden="1">
      <c r="B202" s="2">
        <v>255</v>
      </c>
      <c r="C202" s="2">
        <v>0.25700000000000001</v>
      </c>
      <c r="D202" s="2">
        <v>0.78900000000000003</v>
      </c>
    </row>
    <row r="203" spans="2:4" hidden="1">
      <c r="B203" s="2">
        <v>293</v>
      </c>
      <c r="C203" s="2">
        <v>0.248</v>
      </c>
      <c r="D203" s="2">
        <v>0.872</v>
      </c>
    </row>
    <row r="204" spans="2:4" hidden="1">
      <c r="B204" s="2">
        <v>0</v>
      </c>
    </row>
    <row r="205" spans="2:4" hidden="1">
      <c r="B205" s="2">
        <v>292</v>
      </c>
    </row>
    <row r="206" spans="2:4" hidden="1">
      <c r="B206" s="2">
        <v>0</v>
      </c>
      <c r="C206" s="2"/>
      <c r="D206" s="2"/>
    </row>
    <row r="207" spans="2:4" hidden="1">
      <c r="B207" s="2">
        <v>0</v>
      </c>
      <c r="C207" s="2"/>
      <c r="D207" s="2"/>
    </row>
    <row r="208" spans="2:4" hidden="1">
      <c r="B208" s="2">
        <v>122</v>
      </c>
    </row>
  </sheetData>
  <autoFilter ref="A2:R37" xr:uid="{816D0583-F635-F34F-AA23-5BFB8E172C80}">
    <filterColumn colId="3">
      <filters>
        <filter val="RHP"/>
      </filters>
    </filterColumn>
  </autoFilter>
  <mergeCells count="3">
    <mergeCell ref="A1:R1"/>
    <mergeCell ref="A50:R50"/>
    <mergeCell ref="T1:A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84A5-DB60-AC43-9726-9BD7400493C5}">
  <dimension ref="A1:H58"/>
  <sheetViews>
    <sheetView workbookViewId="0">
      <selection activeCell="D63" sqref="D63"/>
    </sheetView>
  </sheetViews>
  <sheetFormatPr baseColWidth="10" defaultColWidth="11" defaultRowHeight="16"/>
  <cols>
    <col min="1" max="1" width="13.6640625" customWidth="1"/>
    <col min="2" max="2" width="19.33203125" customWidth="1"/>
    <col min="3" max="3" width="22.6640625" customWidth="1"/>
    <col min="4" max="4" width="20.1640625" customWidth="1"/>
    <col min="5" max="5" width="16.5" customWidth="1"/>
    <col min="6" max="6" width="66.33203125" customWidth="1"/>
    <col min="7" max="7" width="17.6640625" customWidth="1"/>
    <col min="8" max="8" width="66" customWidth="1"/>
    <col min="9" max="9" width="20" customWidth="1"/>
  </cols>
  <sheetData>
    <row r="1" spans="1:8" ht="22">
      <c r="A1" s="123" t="s">
        <v>207</v>
      </c>
      <c r="B1" s="123"/>
      <c r="C1" s="123"/>
      <c r="D1" s="123"/>
      <c r="E1" s="123"/>
      <c r="F1" s="123"/>
      <c r="G1" s="123"/>
      <c r="H1" s="123"/>
    </row>
    <row r="2" spans="1:8" ht="46" customHeight="1">
      <c r="A2" s="14" t="s">
        <v>9</v>
      </c>
      <c r="B2" s="15" t="s">
        <v>10</v>
      </c>
      <c r="C2" s="15" t="s">
        <v>208</v>
      </c>
      <c r="D2" s="9" t="s">
        <v>209</v>
      </c>
      <c r="E2" s="9" t="s">
        <v>210</v>
      </c>
      <c r="F2" s="9" t="s">
        <v>211</v>
      </c>
      <c r="G2" s="1" t="s">
        <v>212</v>
      </c>
      <c r="H2" s="15" t="s">
        <v>213</v>
      </c>
    </row>
    <row r="3" spans="1:8">
      <c r="A3" s="2" t="s">
        <v>45</v>
      </c>
      <c r="B3" s="2" t="s">
        <v>39</v>
      </c>
      <c r="C3" s="18">
        <f>AVERAGE('Cleaned Data'!F4:F37)</f>
        <v>3.4147058823529419</v>
      </c>
      <c r="D3" s="16">
        <f>AVERAGE('Cleaned Data'!H119:H141)</f>
        <v>64.608695652173907</v>
      </c>
      <c r="E3" s="17">
        <f>AVERAGE('Cleaned Data'!I121:I136)</f>
        <v>4.3775000000000004</v>
      </c>
      <c r="F3" s="12">
        <f>AVERAGE('Cleaned Data'!J121:J136)</f>
        <v>1.3443749999999997</v>
      </c>
      <c r="G3" s="12">
        <f>AVERAGE('Cleaned Data'!Q146:Q168)</f>
        <v>0.21739130434782608</v>
      </c>
      <c r="H3" s="124">
        <f>AVERAGE('Cleaned Data'!F3:F37)</f>
        <v>3.3171428571428576</v>
      </c>
    </row>
    <row r="4" spans="1:8">
      <c r="A4" s="2" t="s">
        <v>38</v>
      </c>
      <c r="B4" s="2" t="s">
        <v>39</v>
      </c>
      <c r="C4" s="18">
        <f>AVERAGE('Cleaned Data'!F3:F36)</f>
        <v>3.4147058823529419</v>
      </c>
      <c r="D4" s="16">
        <f>AVERAGE('Cleaned Data'!F119:F130)</f>
        <v>60.083333333333336</v>
      </c>
      <c r="E4" s="17">
        <f>AVERAGE('Cleaned Data'!J6:J32)</f>
        <v>4.1614814814814816</v>
      </c>
      <c r="F4" s="12">
        <f>AVERAGE('Cleaned Data'!K6:K32)</f>
        <v>1.2659259259259261</v>
      </c>
      <c r="G4" s="12">
        <f>AVERAGE('Cleaned Data'!Q3:Q36)</f>
        <v>0.17647058823529413</v>
      </c>
      <c r="H4" s="124"/>
    </row>
    <row r="6" spans="1:8" ht="22">
      <c r="A6" s="123" t="s">
        <v>214</v>
      </c>
      <c r="B6" s="123"/>
      <c r="C6" s="123"/>
      <c r="D6" s="123"/>
      <c r="E6" s="123"/>
      <c r="F6" s="123"/>
      <c r="G6" s="123"/>
      <c r="H6" s="123"/>
    </row>
    <row r="7" spans="1:8" ht="45">
      <c r="A7" s="14" t="s">
        <v>9</v>
      </c>
      <c r="B7" s="15" t="s">
        <v>10</v>
      </c>
      <c r="C7" s="15" t="s">
        <v>208</v>
      </c>
      <c r="D7" s="9" t="s">
        <v>215</v>
      </c>
      <c r="E7" s="9" t="s">
        <v>216</v>
      </c>
      <c r="F7" s="9" t="s">
        <v>217</v>
      </c>
      <c r="G7" s="1" t="s">
        <v>212</v>
      </c>
      <c r="H7" s="15" t="s">
        <v>218</v>
      </c>
    </row>
    <row r="8" spans="1:8">
      <c r="A8" s="2" t="s">
        <v>53</v>
      </c>
      <c r="B8" s="2" t="s">
        <v>54</v>
      </c>
      <c r="C8" s="18">
        <f>(13.7+0+0+0+12.5+3.3-1)/7</f>
        <v>4.0714285714285712</v>
      </c>
      <c r="D8" s="20">
        <f>AVERAGE('Cleaned Data'!G145:G151)</f>
        <v>259.28571428571428</v>
      </c>
      <c r="E8" s="22">
        <f>AVERAGE('Cleaned Data'!H148:H151)</f>
        <v>0.22225</v>
      </c>
      <c r="F8" s="22">
        <f>AVERAGE('Cleaned Data'!I148:I151)</f>
        <v>0.71199999999999997</v>
      </c>
      <c r="G8" s="19">
        <f>AVERAGE('Cleaned Data'!J145:J151)</f>
        <v>0.5714285714285714</v>
      </c>
      <c r="H8" s="125">
        <f>AVERAGE('Cleaned Data'!F52:F98)</f>
        <v>3.7063829787234046</v>
      </c>
    </row>
    <row r="9" spans="1:8">
      <c r="A9" s="2" t="s">
        <v>103</v>
      </c>
      <c r="B9" s="2" t="s">
        <v>54</v>
      </c>
      <c r="C9" s="19">
        <f>AVERAGE('Cleaned Data'!E121:E123)</f>
        <v>6.6666666666666652E-2</v>
      </c>
      <c r="D9" s="23">
        <f>AVERAGE('Cleaned Data'!G154:G156)</f>
        <v>218</v>
      </c>
      <c r="E9" s="23">
        <f>AVERAGE('Cleaned Data'!H155:H156)</f>
        <v>0.22500000000000001</v>
      </c>
      <c r="F9" s="23">
        <f>AVERAGE('Cleaned Data'!I155:I156)</f>
        <v>0.69599999999999995</v>
      </c>
      <c r="G9" s="23">
        <v>0</v>
      </c>
      <c r="H9" s="125"/>
    </row>
    <row r="10" spans="1:8">
      <c r="A10" s="2" t="s">
        <v>144</v>
      </c>
      <c r="B10" s="2" t="s">
        <v>54</v>
      </c>
      <c r="C10" s="24">
        <f>AVERAGE('Cleaned Data'!D121:D122)</f>
        <v>1.25</v>
      </c>
      <c r="D10" s="16">
        <f>(131+28)/2</f>
        <v>79.5</v>
      </c>
      <c r="E10" s="12">
        <f>(0.31+0.241)/2</f>
        <v>0.27549999999999997</v>
      </c>
      <c r="F10" s="5">
        <f>(0.746+0.812)/2</f>
        <v>0.77900000000000003</v>
      </c>
      <c r="G10" s="24">
        <v>0</v>
      </c>
      <c r="H10" s="125"/>
    </row>
    <row r="11" spans="1:8">
      <c r="A11" s="2" t="s">
        <v>58</v>
      </c>
      <c r="B11" s="2" t="s">
        <v>54</v>
      </c>
      <c r="C11" s="19">
        <f>AVERAGE('Cleaned Data'!C119:C133)</f>
        <v>4.3933333333333326</v>
      </c>
      <c r="D11" s="20">
        <f>AVERAGE('Cleaned Data'!G160:G174)</f>
        <v>232.46666666666667</v>
      </c>
      <c r="E11" s="22">
        <f>AVERAGE('Cleaned Data'!H160:H170)</f>
        <v>0.23318181818181818</v>
      </c>
      <c r="F11" s="22">
        <f>AVERAGE('Cleaned Data'!I160:I170)</f>
        <v>0.70763636363636362</v>
      </c>
      <c r="G11" s="22">
        <f>AVERAGE('Cleaned Data'!T175:T189)</f>
        <v>0.26666666666666666</v>
      </c>
      <c r="H11" s="125"/>
    </row>
    <row r="12" spans="1:8">
      <c r="A12" s="2" t="s">
        <v>119</v>
      </c>
      <c r="B12" s="2" t="s">
        <v>54</v>
      </c>
      <c r="C12" s="2">
        <f>AVERAGE('Cleaned Data'!B123:B127)</f>
        <v>7.3599999999999994</v>
      </c>
      <c r="D12" s="39">
        <f>AVERAGE('Cleaned Data'!F180:F184)</f>
        <v>260.60000000000002</v>
      </c>
      <c r="E12" s="11">
        <f>AVERAGE('Cleaned Data'!G180:G183)</f>
        <v>0.21074999999999999</v>
      </c>
      <c r="F12" s="11">
        <f>AVERAGE('Cleaned Data'!H180:H183)</f>
        <v>0.6412500000000001</v>
      </c>
      <c r="G12" s="40">
        <v>0.8</v>
      </c>
      <c r="H12" s="125"/>
    </row>
    <row r="13" spans="1:8">
      <c r="A13" s="2" t="s">
        <v>62</v>
      </c>
      <c r="B13" s="2" t="s">
        <v>54</v>
      </c>
      <c r="C13" s="21">
        <f>AVERAGE('Cleaned Data'!A122:A136)</f>
        <v>2.686666666666667</v>
      </c>
      <c r="D13" s="20">
        <f>AVERAGE('Cleaned Data'!B194:B208)</f>
        <v>203.86666666666667</v>
      </c>
      <c r="E13" s="22">
        <f>AVERAGE('Cleaned Data'!C194:C203)</f>
        <v>0.22359999999999997</v>
      </c>
      <c r="F13" s="22">
        <f>AVERAGE('Cleaned Data'!D194:D203)</f>
        <v>0.69869999999999988</v>
      </c>
      <c r="G13" s="22">
        <f>AVERAGE('Cleaned Data'!T147:T161)</f>
        <v>0.2</v>
      </c>
      <c r="H13" s="125"/>
    </row>
    <row r="15" spans="1:8" ht="22">
      <c r="A15" s="123" t="s">
        <v>250</v>
      </c>
      <c r="B15" s="123"/>
      <c r="C15" s="123"/>
      <c r="D15" s="123"/>
      <c r="E15" s="123"/>
      <c r="F15" t="s">
        <v>277</v>
      </c>
      <c r="G15" s="56"/>
    </row>
    <row r="16" spans="1:8">
      <c r="A16" s="26" t="s">
        <v>5</v>
      </c>
      <c r="B16" s="26" t="s">
        <v>219</v>
      </c>
      <c r="C16" s="26" t="s">
        <v>220</v>
      </c>
      <c r="D16" s="26" t="s">
        <v>221</v>
      </c>
      <c r="E16" s="26" t="s">
        <v>222</v>
      </c>
      <c r="G16" s="5"/>
    </row>
    <row r="17" spans="1:7">
      <c r="A17" s="7" t="s">
        <v>117</v>
      </c>
      <c r="B17" s="2" t="s">
        <v>119</v>
      </c>
      <c r="C17" s="7">
        <v>2</v>
      </c>
      <c r="D17" s="23">
        <v>1</v>
      </c>
      <c r="E17" s="27">
        <f t="shared" ref="E17:E20" si="0">D17/C17</f>
        <v>0.5</v>
      </c>
      <c r="G17" s="5"/>
    </row>
    <row r="18" spans="1:7">
      <c r="A18" s="7" t="s">
        <v>51</v>
      </c>
      <c r="B18" s="2" t="s">
        <v>53</v>
      </c>
      <c r="C18" s="7">
        <v>2</v>
      </c>
      <c r="D18" s="23">
        <v>1</v>
      </c>
      <c r="E18" s="27">
        <f t="shared" si="0"/>
        <v>0.5</v>
      </c>
      <c r="G18" s="5"/>
    </row>
    <row r="19" spans="1:7">
      <c r="A19" s="7" t="s">
        <v>73</v>
      </c>
      <c r="B19" s="2" t="s">
        <v>62</v>
      </c>
      <c r="C19" s="7">
        <v>2</v>
      </c>
      <c r="D19" s="23">
        <v>1</v>
      </c>
      <c r="E19" s="27">
        <f t="shared" si="0"/>
        <v>0.5</v>
      </c>
      <c r="G19" s="5"/>
    </row>
    <row r="20" spans="1:7">
      <c r="A20" s="7" t="s">
        <v>81</v>
      </c>
      <c r="B20" s="2" t="s">
        <v>58</v>
      </c>
      <c r="C20" s="7">
        <v>2</v>
      </c>
      <c r="D20" s="23">
        <v>1</v>
      </c>
      <c r="E20" s="27">
        <f t="shared" si="0"/>
        <v>0.5</v>
      </c>
      <c r="G20" s="5"/>
    </row>
    <row r="21" spans="1:7">
      <c r="A21" s="41" t="s">
        <v>187</v>
      </c>
      <c r="B21" s="2" t="s">
        <v>251</v>
      </c>
      <c r="C21" s="41">
        <v>2</v>
      </c>
      <c r="D21" s="7">
        <v>1</v>
      </c>
      <c r="E21" s="27">
        <f t="shared" ref="E21:E45" si="1">D21/C21</f>
        <v>0.5</v>
      </c>
      <c r="G21" s="5"/>
    </row>
    <row r="22" spans="1:7">
      <c r="A22" s="7" t="s">
        <v>47</v>
      </c>
      <c r="B22" s="2" t="s">
        <v>252</v>
      </c>
      <c r="C22" s="7">
        <v>2</v>
      </c>
      <c r="D22" s="23">
        <v>1</v>
      </c>
      <c r="E22" s="27">
        <f t="shared" si="1"/>
        <v>0.5</v>
      </c>
    </row>
    <row r="23" spans="1:7">
      <c r="A23" s="46" t="s">
        <v>56</v>
      </c>
      <c r="B23" s="2" t="s">
        <v>276</v>
      </c>
      <c r="C23" s="46">
        <v>3</v>
      </c>
      <c r="D23" s="46">
        <v>1</v>
      </c>
      <c r="E23" s="52">
        <f t="shared" si="1"/>
        <v>0.33333333333333331</v>
      </c>
    </row>
    <row r="24" spans="1:7">
      <c r="A24" s="46" t="s">
        <v>111</v>
      </c>
      <c r="B24" s="2" t="s">
        <v>275</v>
      </c>
      <c r="C24" s="46">
        <v>2</v>
      </c>
      <c r="D24" s="46">
        <v>1</v>
      </c>
      <c r="E24" s="52">
        <f t="shared" si="1"/>
        <v>0.5</v>
      </c>
    </row>
    <row r="25" spans="1:7">
      <c r="A25" s="7" t="s">
        <v>92</v>
      </c>
      <c r="B25" s="2" t="s">
        <v>266</v>
      </c>
      <c r="C25" s="7">
        <v>4</v>
      </c>
      <c r="D25" s="23">
        <v>1</v>
      </c>
      <c r="E25" s="27">
        <f t="shared" si="1"/>
        <v>0.25</v>
      </c>
    </row>
    <row r="26" spans="1:7">
      <c r="A26" s="7" t="s">
        <v>67</v>
      </c>
      <c r="B26" s="2" t="s">
        <v>254</v>
      </c>
      <c r="C26" s="7">
        <v>3</v>
      </c>
      <c r="D26" s="23">
        <v>1</v>
      </c>
      <c r="E26" s="27">
        <f t="shared" si="1"/>
        <v>0.33333333333333331</v>
      </c>
    </row>
    <row r="27" spans="1:7">
      <c r="A27" s="7" t="s">
        <v>98</v>
      </c>
      <c r="B27" s="2" t="s">
        <v>265</v>
      </c>
      <c r="C27" s="7">
        <v>3</v>
      </c>
      <c r="D27" s="23">
        <v>1</v>
      </c>
      <c r="E27" s="27">
        <f t="shared" si="1"/>
        <v>0.33333333333333331</v>
      </c>
    </row>
    <row r="28" spans="1:7">
      <c r="A28" s="7" t="s">
        <v>121</v>
      </c>
      <c r="B28" s="2" t="s">
        <v>224</v>
      </c>
      <c r="C28" s="7">
        <v>2</v>
      </c>
      <c r="D28" s="23">
        <v>1</v>
      </c>
      <c r="E28" s="27">
        <f t="shared" si="1"/>
        <v>0.5</v>
      </c>
    </row>
    <row r="29" spans="1:7">
      <c r="A29" s="7" t="s">
        <v>136</v>
      </c>
      <c r="B29" s="2" t="s">
        <v>62</v>
      </c>
      <c r="C29" s="7">
        <v>3</v>
      </c>
      <c r="D29" s="23">
        <v>0</v>
      </c>
      <c r="E29" s="27">
        <f t="shared" si="1"/>
        <v>0</v>
      </c>
    </row>
    <row r="30" spans="1:7">
      <c r="A30" s="46" t="s">
        <v>101</v>
      </c>
      <c r="B30" s="2" t="s">
        <v>274</v>
      </c>
      <c r="C30" s="46">
        <v>4</v>
      </c>
      <c r="D30" s="46">
        <v>0</v>
      </c>
      <c r="E30" s="52">
        <f t="shared" si="1"/>
        <v>0</v>
      </c>
    </row>
    <row r="31" spans="1:7" ht="18" customHeight="1">
      <c r="A31" s="7" t="s">
        <v>131</v>
      </c>
      <c r="B31" s="2" t="s">
        <v>264</v>
      </c>
      <c r="C31" s="7">
        <v>3</v>
      </c>
      <c r="D31" s="23">
        <v>1</v>
      </c>
      <c r="E31" s="27">
        <f t="shared" si="1"/>
        <v>0.33333333333333331</v>
      </c>
    </row>
    <row r="32" spans="1:7">
      <c r="A32" s="46" t="s">
        <v>114</v>
      </c>
      <c r="B32" s="2" t="s">
        <v>273</v>
      </c>
      <c r="C32" s="46">
        <v>3</v>
      </c>
      <c r="D32" s="46">
        <v>0</v>
      </c>
      <c r="E32" s="52">
        <f t="shared" si="1"/>
        <v>0</v>
      </c>
    </row>
    <row r="33" spans="1:5">
      <c r="A33" s="7" t="s">
        <v>64</v>
      </c>
      <c r="B33" s="2" t="s">
        <v>224</v>
      </c>
      <c r="C33" s="7">
        <v>2</v>
      </c>
      <c r="D33" s="23">
        <v>2</v>
      </c>
      <c r="E33" s="27">
        <f t="shared" si="1"/>
        <v>1</v>
      </c>
    </row>
    <row r="34" spans="1:5">
      <c r="A34" s="46" t="s">
        <v>81</v>
      </c>
      <c r="B34" s="2" t="s">
        <v>272</v>
      </c>
      <c r="C34" s="46">
        <v>2</v>
      </c>
      <c r="D34" s="46">
        <v>2</v>
      </c>
      <c r="E34" s="52">
        <f t="shared" si="1"/>
        <v>1</v>
      </c>
    </row>
    <row r="35" spans="1:5">
      <c r="A35" s="7" t="s">
        <v>60</v>
      </c>
      <c r="B35" s="2" t="s">
        <v>62</v>
      </c>
      <c r="C35" s="7">
        <v>2</v>
      </c>
      <c r="D35" s="23">
        <v>0</v>
      </c>
      <c r="E35" s="27">
        <f t="shared" si="1"/>
        <v>0</v>
      </c>
    </row>
    <row r="36" spans="1:5">
      <c r="A36" s="46" t="s">
        <v>271</v>
      </c>
      <c r="B36" s="2" t="s">
        <v>53</v>
      </c>
      <c r="C36" s="46">
        <v>1</v>
      </c>
      <c r="D36" s="7">
        <v>1</v>
      </c>
      <c r="E36" s="47">
        <f t="shared" si="1"/>
        <v>1</v>
      </c>
    </row>
    <row r="37" spans="1:5">
      <c r="A37" s="7" t="s">
        <v>95</v>
      </c>
      <c r="B37" s="2" t="s">
        <v>223</v>
      </c>
      <c r="C37" s="7">
        <v>2</v>
      </c>
      <c r="D37" s="23">
        <v>0</v>
      </c>
      <c r="E37" s="27">
        <f t="shared" si="1"/>
        <v>0</v>
      </c>
    </row>
    <row r="38" spans="1:5">
      <c r="A38" s="7" t="s">
        <v>114</v>
      </c>
      <c r="B38" s="2" t="s">
        <v>226</v>
      </c>
      <c r="C38" s="7">
        <v>4</v>
      </c>
      <c r="D38" s="23">
        <v>0</v>
      </c>
      <c r="E38" s="27">
        <f t="shared" si="1"/>
        <v>0</v>
      </c>
    </row>
    <row r="39" spans="1:5">
      <c r="A39" s="46" t="s">
        <v>73</v>
      </c>
      <c r="B39" s="2" t="s">
        <v>270</v>
      </c>
      <c r="C39" s="46">
        <v>2</v>
      </c>
      <c r="D39" s="7">
        <v>1</v>
      </c>
      <c r="E39" s="47">
        <f t="shared" si="1"/>
        <v>0.5</v>
      </c>
    </row>
    <row r="40" spans="1:5">
      <c r="A40" s="7" t="s">
        <v>101</v>
      </c>
      <c r="B40" s="2" t="s">
        <v>103</v>
      </c>
      <c r="C40" s="7">
        <v>4</v>
      </c>
      <c r="D40" s="23">
        <v>0</v>
      </c>
      <c r="E40" s="27">
        <f t="shared" si="1"/>
        <v>0</v>
      </c>
    </row>
    <row r="41" spans="1:5">
      <c r="A41" s="7" t="s">
        <v>42</v>
      </c>
      <c r="B41" s="2" t="s">
        <v>263</v>
      </c>
      <c r="C41" s="7">
        <v>4</v>
      </c>
      <c r="D41" s="23">
        <v>0</v>
      </c>
      <c r="E41" s="27">
        <f t="shared" si="1"/>
        <v>0</v>
      </c>
    </row>
    <row r="42" spans="1:5">
      <c r="A42" s="41" t="s">
        <v>60</v>
      </c>
      <c r="B42" s="2" t="s">
        <v>262</v>
      </c>
      <c r="C42" s="41">
        <v>2</v>
      </c>
      <c r="D42" s="7">
        <v>1</v>
      </c>
      <c r="E42" s="27">
        <f t="shared" si="1"/>
        <v>0.5</v>
      </c>
    </row>
    <row r="43" spans="1:5">
      <c r="A43" s="7" t="s">
        <v>56</v>
      </c>
      <c r="B43" s="2" t="s">
        <v>58</v>
      </c>
      <c r="C43" s="7">
        <v>3</v>
      </c>
      <c r="D43" s="23">
        <v>0</v>
      </c>
      <c r="E43" s="27">
        <f t="shared" si="1"/>
        <v>0</v>
      </c>
    </row>
    <row r="44" spans="1:5">
      <c r="A44" s="7" t="s">
        <v>111</v>
      </c>
      <c r="B44" s="2" t="s">
        <v>62</v>
      </c>
      <c r="C44" s="7">
        <v>2</v>
      </c>
      <c r="D44" s="23">
        <v>0</v>
      </c>
      <c r="E44" s="27">
        <f t="shared" si="1"/>
        <v>0</v>
      </c>
    </row>
    <row r="45" spans="1:5">
      <c r="A45" s="41" t="s">
        <v>156</v>
      </c>
      <c r="B45" s="2" t="s">
        <v>53</v>
      </c>
      <c r="C45" s="41">
        <v>1</v>
      </c>
      <c r="D45" s="7">
        <v>1</v>
      </c>
      <c r="E45" s="47">
        <f t="shared" si="1"/>
        <v>1</v>
      </c>
    </row>
    <row r="46" spans="1:5">
      <c r="A46" s="7" t="s">
        <v>105</v>
      </c>
      <c r="B46" s="2" t="s">
        <v>261</v>
      </c>
      <c r="C46" s="7">
        <v>3</v>
      </c>
      <c r="D46" s="23">
        <v>0</v>
      </c>
      <c r="E46" s="27">
        <f t="shared" ref="E46:E57" si="2">D46/C46</f>
        <v>0</v>
      </c>
    </row>
    <row r="47" spans="1:5">
      <c r="A47" s="7" t="s">
        <v>83</v>
      </c>
      <c r="B47" s="2" t="s">
        <v>260</v>
      </c>
      <c r="C47" s="7">
        <v>2</v>
      </c>
      <c r="D47" s="23">
        <v>0</v>
      </c>
      <c r="E47" s="27">
        <f t="shared" si="2"/>
        <v>0</v>
      </c>
    </row>
    <row r="48" spans="1:5">
      <c r="A48" s="7" t="s">
        <v>108</v>
      </c>
      <c r="B48" s="2" t="s">
        <v>259</v>
      </c>
      <c r="C48" s="7">
        <v>3</v>
      </c>
      <c r="D48" s="23">
        <v>0</v>
      </c>
      <c r="E48" s="27">
        <f t="shared" si="2"/>
        <v>0</v>
      </c>
    </row>
    <row r="49" spans="1:5">
      <c r="A49" s="7" t="s">
        <v>89</v>
      </c>
      <c r="B49" s="2" t="s">
        <v>258</v>
      </c>
      <c r="C49" s="7">
        <v>5</v>
      </c>
      <c r="D49" s="23">
        <v>1</v>
      </c>
      <c r="E49" s="27">
        <f t="shared" si="2"/>
        <v>0.2</v>
      </c>
    </row>
    <row r="50" spans="1:5">
      <c r="A50" s="46" t="s">
        <v>51</v>
      </c>
      <c r="B50" s="2" t="s">
        <v>269</v>
      </c>
      <c r="C50" s="46">
        <v>2</v>
      </c>
      <c r="D50" s="7">
        <v>1</v>
      </c>
      <c r="E50" s="47">
        <f t="shared" si="2"/>
        <v>0.5</v>
      </c>
    </row>
    <row r="51" spans="1:5">
      <c r="A51" s="7" t="s">
        <v>124</v>
      </c>
      <c r="B51" s="2" t="s">
        <v>253</v>
      </c>
      <c r="C51" s="7">
        <v>3</v>
      </c>
      <c r="D51" s="23">
        <v>1</v>
      </c>
      <c r="E51" s="27">
        <f t="shared" si="2"/>
        <v>0.33333333333333331</v>
      </c>
    </row>
    <row r="52" spans="1:5">
      <c r="A52" s="5" t="s">
        <v>78</v>
      </c>
      <c r="B52" s="2" t="s">
        <v>257</v>
      </c>
      <c r="C52" s="7">
        <v>3</v>
      </c>
      <c r="D52" s="23">
        <v>0</v>
      </c>
      <c r="E52" s="27">
        <f t="shared" si="2"/>
        <v>0</v>
      </c>
    </row>
    <row r="53" spans="1:5">
      <c r="A53" s="46" t="s">
        <v>136</v>
      </c>
      <c r="B53" s="38" t="s">
        <v>268</v>
      </c>
      <c r="C53" s="46">
        <v>3</v>
      </c>
      <c r="D53" s="7">
        <v>1</v>
      </c>
      <c r="E53" s="47">
        <f t="shared" si="2"/>
        <v>0.33333333333333331</v>
      </c>
    </row>
    <row r="54" spans="1:5">
      <c r="A54" s="7" t="s">
        <v>70</v>
      </c>
      <c r="B54" s="2" t="s">
        <v>256</v>
      </c>
      <c r="C54" s="7">
        <v>3</v>
      </c>
      <c r="D54" s="23">
        <v>1</v>
      </c>
      <c r="E54" s="27">
        <f t="shared" si="2"/>
        <v>0.33333333333333331</v>
      </c>
    </row>
    <row r="55" spans="1:5">
      <c r="A55" s="46" t="s">
        <v>117</v>
      </c>
      <c r="B55" s="2" t="s">
        <v>267</v>
      </c>
      <c r="C55" s="46">
        <v>2</v>
      </c>
      <c r="D55" s="7">
        <v>1</v>
      </c>
      <c r="E55" s="47">
        <f t="shared" si="2"/>
        <v>0.5</v>
      </c>
    </row>
    <row r="56" spans="1:5">
      <c r="A56" s="7" t="s">
        <v>35</v>
      </c>
      <c r="B56" s="2" t="s">
        <v>255</v>
      </c>
      <c r="C56" s="5">
        <v>3</v>
      </c>
      <c r="D56" s="23">
        <v>0</v>
      </c>
      <c r="E56" s="27">
        <f t="shared" si="2"/>
        <v>0</v>
      </c>
    </row>
    <row r="57" spans="1:5">
      <c r="A57" s="7" t="s">
        <v>86</v>
      </c>
      <c r="B57" s="2" t="s">
        <v>225</v>
      </c>
      <c r="C57" s="5">
        <v>2</v>
      </c>
      <c r="D57" s="23">
        <v>0</v>
      </c>
      <c r="E57" s="27">
        <f t="shared" si="2"/>
        <v>0</v>
      </c>
    </row>
    <row r="58" spans="1:5">
      <c r="B58" s="2"/>
    </row>
  </sheetData>
  <autoFilter ref="A16:E57" xr:uid="{7C1584A5-DB60-AC43-9726-9BD7400493C5}">
    <sortState xmlns:xlrd2="http://schemas.microsoft.com/office/spreadsheetml/2017/richdata2" ref="A21:E57">
      <sortCondition descending="1" ref="A16:A57"/>
    </sortState>
  </autoFilter>
  <mergeCells count="5">
    <mergeCell ref="A1:H1"/>
    <mergeCell ref="A6:H6"/>
    <mergeCell ref="H3:H4"/>
    <mergeCell ref="H8:H13"/>
    <mergeCell ref="A15:E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E7FDE-F211-304E-A2A9-46B3D03B89D2}">
  <dimension ref="A2:W114"/>
  <sheetViews>
    <sheetView workbookViewId="0">
      <selection activeCell="A28" sqref="A28"/>
    </sheetView>
  </sheetViews>
  <sheetFormatPr baseColWidth="10" defaultColWidth="11" defaultRowHeight="16"/>
  <cols>
    <col min="1" max="1" width="15.33203125" bestFit="1" customWidth="1"/>
    <col min="2" max="2" width="53.5" bestFit="1" customWidth="1"/>
    <col min="3" max="3" width="27.6640625" bestFit="1" customWidth="1"/>
    <col min="4" max="4" width="12.6640625" bestFit="1" customWidth="1"/>
    <col min="5" max="5" width="27.6640625" bestFit="1" customWidth="1"/>
    <col min="6" max="6" width="19" bestFit="1" customWidth="1"/>
    <col min="7" max="7" width="34" bestFit="1" customWidth="1"/>
    <col min="8" max="8" width="14.6640625" bestFit="1" customWidth="1"/>
    <col min="9" max="9" width="27.6640625" bestFit="1" customWidth="1"/>
    <col min="10" max="10" width="12.6640625" bestFit="1" customWidth="1"/>
    <col min="11" max="11" width="27.6640625" bestFit="1" customWidth="1"/>
    <col min="12" max="12" width="12.6640625" bestFit="1" customWidth="1"/>
    <col min="13" max="13" width="27.6640625" bestFit="1" customWidth="1"/>
    <col min="14" max="14" width="12.6640625" bestFit="1" customWidth="1"/>
    <col min="15" max="15" width="27.6640625" bestFit="1" customWidth="1"/>
    <col min="16" max="16" width="12.6640625" bestFit="1" customWidth="1"/>
    <col min="17" max="17" width="27.6640625" bestFit="1" customWidth="1"/>
    <col min="18" max="18" width="12.6640625" bestFit="1" customWidth="1"/>
    <col min="19" max="19" width="27.6640625" bestFit="1" customWidth="1"/>
    <col min="20" max="20" width="25.1640625" bestFit="1" customWidth="1"/>
    <col min="21" max="21" width="40.1640625" bestFit="1" customWidth="1"/>
    <col min="22" max="22" width="17.1640625" bestFit="1" customWidth="1"/>
    <col min="23" max="23" width="32.1640625" bestFit="1" customWidth="1"/>
  </cols>
  <sheetData>
    <row r="2" spans="1:12">
      <c r="A2" s="28" t="s">
        <v>227</v>
      </c>
      <c r="B2" s="28" t="s">
        <v>228</v>
      </c>
    </row>
    <row r="3" spans="1:12">
      <c r="B3" t="s">
        <v>39</v>
      </c>
      <c r="D3" t="s">
        <v>229</v>
      </c>
      <c r="E3" t="s">
        <v>54</v>
      </c>
      <c r="K3" t="s">
        <v>230</v>
      </c>
      <c r="L3" t="s">
        <v>231</v>
      </c>
    </row>
    <row r="4" spans="1:12">
      <c r="A4" s="28" t="s">
        <v>203</v>
      </c>
      <c r="B4" t="s">
        <v>38</v>
      </c>
      <c r="C4" t="s">
        <v>45</v>
      </c>
      <c r="E4" t="s">
        <v>103</v>
      </c>
      <c r="F4" t="s">
        <v>144</v>
      </c>
      <c r="G4" t="s">
        <v>119</v>
      </c>
      <c r="H4" t="s">
        <v>53</v>
      </c>
      <c r="I4" t="s">
        <v>62</v>
      </c>
      <c r="J4" t="s">
        <v>58</v>
      </c>
    </row>
    <row r="5" spans="1:12">
      <c r="A5" s="29">
        <v>2014</v>
      </c>
      <c r="B5">
        <v>36.9</v>
      </c>
      <c r="C5">
        <v>58.099999999999994</v>
      </c>
      <c r="D5">
        <v>95</v>
      </c>
      <c r="E5">
        <v>0</v>
      </c>
      <c r="F5">
        <v>0.3</v>
      </c>
      <c r="G5">
        <v>34.5</v>
      </c>
      <c r="H5">
        <v>13.7</v>
      </c>
      <c r="I5">
        <v>21.5</v>
      </c>
      <c r="J5">
        <v>33.199999999999996</v>
      </c>
      <c r="K5">
        <v>103.19999999999999</v>
      </c>
      <c r="L5">
        <v>198.2</v>
      </c>
    </row>
    <row r="6" spans="1:12">
      <c r="A6" s="29">
        <v>2019</v>
      </c>
      <c r="B6">
        <v>4.2</v>
      </c>
      <c r="C6">
        <v>16.899999999999999</v>
      </c>
      <c r="D6">
        <v>21.099999999999998</v>
      </c>
      <c r="E6">
        <v>0.19999999999999996</v>
      </c>
      <c r="F6">
        <v>2.2000000000000002</v>
      </c>
      <c r="G6">
        <v>2.2999999999999998</v>
      </c>
      <c r="H6">
        <v>14.8</v>
      </c>
      <c r="I6">
        <v>18.8</v>
      </c>
      <c r="J6">
        <v>32.700000000000003</v>
      </c>
      <c r="K6">
        <v>71</v>
      </c>
      <c r="L6">
        <v>92.1</v>
      </c>
    </row>
    <row r="7" spans="1:12">
      <c r="A7" s="29" t="s">
        <v>231</v>
      </c>
      <c r="B7">
        <v>41.1</v>
      </c>
      <c r="C7">
        <v>75</v>
      </c>
      <c r="D7">
        <v>116.1</v>
      </c>
      <c r="E7">
        <v>0.19999999999999996</v>
      </c>
      <c r="F7">
        <v>2.5</v>
      </c>
      <c r="G7">
        <v>36.799999999999997</v>
      </c>
      <c r="H7">
        <v>28.5</v>
      </c>
      <c r="I7">
        <v>40.299999999999997</v>
      </c>
      <c r="J7">
        <v>65.900000000000006</v>
      </c>
      <c r="K7">
        <v>174.2</v>
      </c>
      <c r="L7">
        <v>290.29999999999995</v>
      </c>
    </row>
    <row r="9" spans="1:12">
      <c r="A9" s="28" t="s">
        <v>232</v>
      </c>
      <c r="B9" s="28" t="s">
        <v>233</v>
      </c>
    </row>
    <row r="10" spans="1:12">
      <c r="B10" t="s">
        <v>39</v>
      </c>
      <c r="D10" t="s">
        <v>229</v>
      </c>
      <c r="E10" t="s">
        <v>54</v>
      </c>
      <c r="K10" t="s">
        <v>230</v>
      </c>
      <c r="L10" t="s">
        <v>231</v>
      </c>
    </row>
    <row r="11" spans="1:12">
      <c r="A11" s="28" t="s">
        <v>203</v>
      </c>
      <c r="B11" t="s">
        <v>38</v>
      </c>
      <c r="C11" t="s">
        <v>45</v>
      </c>
      <c r="E11" t="s">
        <v>103</v>
      </c>
      <c r="F11" t="s">
        <v>144</v>
      </c>
      <c r="G11" t="s">
        <v>119</v>
      </c>
      <c r="H11" t="s">
        <v>53</v>
      </c>
      <c r="I11" t="s">
        <v>62</v>
      </c>
      <c r="J11" t="s">
        <v>58</v>
      </c>
    </row>
    <row r="12" spans="1:12">
      <c r="A12" s="29">
        <v>2014</v>
      </c>
      <c r="B12">
        <v>671</v>
      </c>
      <c r="C12">
        <v>1235</v>
      </c>
      <c r="D12">
        <v>1906</v>
      </c>
      <c r="E12">
        <v>0</v>
      </c>
      <c r="F12">
        <v>28</v>
      </c>
      <c r="G12">
        <v>953</v>
      </c>
      <c r="H12">
        <v>1058</v>
      </c>
      <c r="I12">
        <v>2096</v>
      </c>
      <c r="J12">
        <v>2044</v>
      </c>
      <c r="K12">
        <v>6179</v>
      </c>
      <c r="L12">
        <v>8085</v>
      </c>
    </row>
    <row r="13" spans="1:12">
      <c r="A13" s="29">
        <v>2019</v>
      </c>
      <c r="B13">
        <v>50</v>
      </c>
      <c r="C13">
        <v>251</v>
      </c>
      <c r="D13">
        <v>301</v>
      </c>
      <c r="E13">
        <v>654</v>
      </c>
      <c r="F13">
        <v>131</v>
      </c>
      <c r="G13">
        <v>350</v>
      </c>
      <c r="H13">
        <v>757</v>
      </c>
      <c r="I13">
        <v>962</v>
      </c>
      <c r="J13">
        <v>1443</v>
      </c>
      <c r="K13">
        <v>4297</v>
      </c>
      <c r="L13">
        <v>4598</v>
      </c>
    </row>
    <row r="14" spans="1:12">
      <c r="A14" s="29" t="s">
        <v>231</v>
      </c>
      <c r="B14">
        <v>721</v>
      </c>
      <c r="C14">
        <v>1486</v>
      </c>
      <c r="D14">
        <v>2207</v>
      </c>
      <c r="E14">
        <v>654</v>
      </c>
      <c r="F14">
        <v>159</v>
      </c>
      <c r="G14">
        <v>1303</v>
      </c>
      <c r="H14">
        <v>1815</v>
      </c>
      <c r="I14">
        <v>3058</v>
      </c>
      <c r="J14">
        <v>3487</v>
      </c>
      <c r="K14">
        <v>10476</v>
      </c>
      <c r="L14">
        <v>12683</v>
      </c>
    </row>
    <row r="16" spans="1:12">
      <c r="A16" s="28" t="s">
        <v>234</v>
      </c>
      <c r="B16" s="28" t="s">
        <v>235</v>
      </c>
    </row>
    <row r="17" spans="1:23">
      <c r="B17" t="s">
        <v>39</v>
      </c>
      <c r="D17" t="s">
        <v>229</v>
      </c>
      <c r="E17" t="s">
        <v>54</v>
      </c>
      <c r="K17" t="s">
        <v>230</v>
      </c>
      <c r="L17" t="s">
        <v>231</v>
      </c>
    </row>
    <row r="18" spans="1:23">
      <c r="A18" s="28" t="s">
        <v>203</v>
      </c>
      <c r="B18" t="s">
        <v>38</v>
      </c>
      <c r="C18" t="s">
        <v>45</v>
      </c>
      <c r="E18" t="s">
        <v>103</v>
      </c>
      <c r="F18" t="s">
        <v>144</v>
      </c>
      <c r="G18" t="s">
        <v>119</v>
      </c>
      <c r="H18" t="s">
        <v>53</v>
      </c>
      <c r="I18" t="s">
        <v>62</v>
      </c>
      <c r="J18" t="s">
        <v>58</v>
      </c>
    </row>
    <row r="19" spans="1:23">
      <c r="A19" s="29">
        <v>2014</v>
      </c>
      <c r="B19">
        <v>1</v>
      </c>
      <c r="C19">
        <v>3</v>
      </c>
      <c r="D19">
        <v>4</v>
      </c>
      <c r="E19">
        <v>0</v>
      </c>
      <c r="F19">
        <v>0</v>
      </c>
      <c r="G19">
        <v>3</v>
      </c>
      <c r="H19">
        <v>2</v>
      </c>
      <c r="I19">
        <v>1</v>
      </c>
      <c r="J19">
        <v>2</v>
      </c>
      <c r="K19">
        <v>8</v>
      </c>
      <c r="L19">
        <v>12</v>
      </c>
    </row>
    <row r="20" spans="1:23">
      <c r="A20" s="29">
        <v>2019</v>
      </c>
      <c r="B20">
        <v>0</v>
      </c>
      <c r="C20">
        <v>2</v>
      </c>
      <c r="D20">
        <v>2</v>
      </c>
      <c r="E20">
        <v>0</v>
      </c>
      <c r="F20">
        <v>0</v>
      </c>
      <c r="G20">
        <v>1</v>
      </c>
      <c r="H20">
        <v>2</v>
      </c>
      <c r="I20">
        <v>2</v>
      </c>
      <c r="J20">
        <v>2</v>
      </c>
      <c r="K20">
        <v>7</v>
      </c>
      <c r="L20">
        <v>9</v>
      </c>
    </row>
    <row r="21" spans="1:23">
      <c r="A21" s="29" t="s">
        <v>231</v>
      </c>
      <c r="B21">
        <v>1</v>
      </c>
      <c r="C21">
        <v>5</v>
      </c>
      <c r="D21">
        <v>6</v>
      </c>
      <c r="E21">
        <v>0</v>
      </c>
      <c r="F21">
        <v>0</v>
      </c>
      <c r="G21">
        <v>4</v>
      </c>
      <c r="H21">
        <v>4</v>
      </c>
      <c r="I21">
        <v>3</v>
      </c>
      <c r="J21">
        <v>4</v>
      </c>
      <c r="K21">
        <v>15</v>
      </c>
      <c r="L21">
        <v>21</v>
      </c>
    </row>
    <row r="23" spans="1:23">
      <c r="B23" s="28" t="s">
        <v>236</v>
      </c>
    </row>
    <row r="24" spans="1:23">
      <c r="B24" t="s">
        <v>39</v>
      </c>
      <c r="F24" t="s">
        <v>237</v>
      </c>
      <c r="G24" t="s">
        <v>238</v>
      </c>
      <c r="H24" t="s">
        <v>54</v>
      </c>
      <c r="T24" t="s">
        <v>239</v>
      </c>
      <c r="U24" t="s">
        <v>240</v>
      </c>
      <c r="V24" t="s">
        <v>241</v>
      </c>
      <c r="W24" t="s">
        <v>242</v>
      </c>
    </row>
    <row r="25" spans="1:23">
      <c r="B25" t="s">
        <v>38</v>
      </c>
      <c r="D25" t="s">
        <v>45</v>
      </c>
      <c r="H25" t="s">
        <v>103</v>
      </c>
      <c r="J25" t="s">
        <v>144</v>
      </c>
      <c r="L25" t="s">
        <v>119</v>
      </c>
      <c r="N25" t="s">
        <v>53</v>
      </c>
      <c r="P25" t="s">
        <v>62</v>
      </c>
      <c r="R25" t="s">
        <v>58</v>
      </c>
    </row>
    <row r="26" spans="1:23">
      <c r="A26" s="28" t="s">
        <v>203</v>
      </c>
      <c r="B26" t="s">
        <v>243</v>
      </c>
      <c r="C26" t="s">
        <v>244</v>
      </c>
      <c r="D26" t="s">
        <v>243</v>
      </c>
      <c r="E26" t="s">
        <v>244</v>
      </c>
      <c r="H26" t="s">
        <v>243</v>
      </c>
      <c r="I26" t="s">
        <v>244</v>
      </c>
      <c r="J26" t="s">
        <v>243</v>
      </c>
      <c r="K26" t="s">
        <v>244</v>
      </c>
      <c r="L26" t="s">
        <v>243</v>
      </c>
      <c r="M26" t="s">
        <v>244</v>
      </c>
      <c r="N26" t="s">
        <v>243</v>
      </c>
      <c r="O26" t="s">
        <v>244</v>
      </c>
      <c r="P26" t="s">
        <v>243</v>
      </c>
      <c r="Q26" t="s">
        <v>244</v>
      </c>
      <c r="R26" t="s">
        <v>243</v>
      </c>
      <c r="S26" t="s">
        <v>244</v>
      </c>
    </row>
    <row r="27" spans="1:23">
      <c r="A27" s="29" t="s">
        <v>86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2</v>
      </c>
      <c r="W27">
        <v>0</v>
      </c>
    </row>
    <row r="28" spans="1:23">
      <c r="A28" s="30">
        <v>2014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</row>
    <row r="29" spans="1:23">
      <c r="A29" s="30">
        <v>2019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1</v>
      </c>
      <c r="W29">
        <v>0</v>
      </c>
    </row>
    <row r="30" spans="1:23">
      <c r="A30" s="29" t="s">
        <v>35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0</v>
      </c>
      <c r="V30">
        <v>3</v>
      </c>
      <c r="W30">
        <v>0</v>
      </c>
    </row>
    <row r="31" spans="1:23">
      <c r="A31" s="30">
        <v>2014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2</v>
      </c>
      <c r="W31">
        <v>0</v>
      </c>
    </row>
    <row r="32" spans="1:23">
      <c r="A32" s="30">
        <v>2019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</row>
    <row r="33" spans="1:23">
      <c r="A33" s="29" t="s">
        <v>117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2</v>
      </c>
      <c r="U33">
        <v>1</v>
      </c>
      <c r="V33">
        <v>2</v>
      </c>
      <c r="W33">
        <v>1</v>
      </c>
    </row>
    <row r="34" spans="1:23">
      <c r="A34" s="30">
        <v>2014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1</v>
      </c>
    </row>
    <row r="35" spans="1:23">
      <c r="A35" s="30">
        <v>2019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1</v>
      </c>
      <c r="W35">
        <v>0</v>
      </c>
    </row>
    <row r="36" spans="1:23">
      <c r="A36" s="29" t="s">
        <v>70</v>
      </c>
      <c r="B36">
        <v>0</v>
      </c>
      <c r="C36">
        <v>0</v>
      </c>
      <c r="D36">
        <v>2</v>
      </c>
      <c r="E36">
        <v>1</v>
      </c>
      <c r="F36">
        <v>2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3</v>
      </c>
      <c r="W36">
        <v>1</v>
      </c>
    </row>
    <row r="37" spans="1:23">
      <c r="A37" s="30">
        <v>2014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</v>
      </c>
      <c r="W37">
        <v>0</v>
      </c>
    </row>
    <row r="38" spans="1:23">
      <c r="A38" s="30">
        <v>2019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</row>
    <row r="39" spans="1:23">
      <c r="A39" s="29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1</v>
      </c>
      <c r="S39">
        <v>0</v>
      </c>
      <c r="T39">
        <v>3</v>
      </c>
      <c r="U39">
        <v>1</v>
      </c>
      <c r="V39">
        <v>3</v>
      </c>
      <c r="W39">
        <v>1</v>
      </c>
    </row>
    <row r="40" spans="1:23">
      <c r="A40" s="30">
        <v>2014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</row>
    <row r="41" spans="1:23">
      <c r="A41" s="30">
        <v>2019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1</v>
      </c>
      <c r="S41">
        <v>0</v>
      </c>
      <c r="T41">
        <v>2</v>
      </c>
      <c r="U41">
        <v>1</v>
      </c>
      <c r="V41">
        <v>2</v>
      </c>
      <c r="W41">
        <v>1</v>
      </c>
    </row>
    <row r="42" spans="1:23">
      <c r="A42" s="29" t="s">
        <v>78</v>
      </c>
      <c r="B42">
        <v>2</v>
      </c>
      <c r="C42">
        <v>0</v>
      </c>
      <c r="D42">
        <v>0</v>
      </c>
      <c r="E42">
        <v>0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3</v>
      </c>
      <c r="W42">
        <v>0</v>
      </c>
    </row>
    <row r="43" spans="1:23">
      <c r="A43" s="30">
        <v>2014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2</v>
      </c>
      <c r="W43">
        <v>0</v>
      </c>
    </row>
    <row r="44" spans="1:23">
      <c r="A44" s="30">
        <v>2019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</row>
    <row r="45" spans="1:23">
      <c r="A45" s="29" t="s">
        <v>124</v>
      </c>
      <c r="B45">
        <v>0</v>
      </c>
      <c r="C45">
        <v>0</v>
      </c>
      <c r="D45">
        <v>3</v>
      </c>
      <c r="E45">
        <v>1</v>
      </c>
      <c r="F45">
        <v>3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1</v>
      </c>
    </row>
    <row r="46" spans="1:23">
      <c r="A46" s="30">
        <v>2014</v>
      </c>
      <c r="B46">
        <v>0</v>
      </c>
      <c r="C46">
        <v>0</v>
      </c>
      <c r="D46">
        <v>2</v>
      </c>
      <c r="E46">
        <v>1</v>
      </c>
      <c r="F46">
        <v>2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  <c r="W46">
        <v>1</v>
      </c>
    </row>
    <row r="47" spans="1:23">
      <c r="A47" s="30">
        <v>2019</v>
      </c>
      <c r="B47">
        <v>0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</row>
    <row r="48" spans="1:23">
      <c r="A48" s="29" t="s">
        <v>51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2</v>
      </c>
      <c r="W48">
        <v>1</v>
      </c>
    </row>
    <row r="49" spans="1:23">
      <c r="A49" s="30">
        <v>2014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1</v>
      </c>
      <c r="W49">
        <v>1</v>
      </c>
    </row>
    <row r="50" spans="1:23">
      <c r="A50" s="30">
        <v>2019</v>
      </c>
      <c r="B50">
        <v>0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</row>
    <row r="51" spans="1:23">
      <c r="A51" s="29" t="s">
        <v>89</v>
      </c>
      <c r="B51">
        <v>1</v>
      </c>
      <c r="C51">
        <v>0</v>
      </c>
      <c r="D51">
        <v>3</v>
      </c>
      <c r="E51">
        <v>0</v>
      </c>
      <c r="F51">
        <v>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1</v>
      </c>
      <c r="U51">
        <v>1</v>
      </c>
      <c r="V51">
        <v>5</v>
      </c>
      <c r="W51">
        <v>1</v>
      </c>
    </row>
    <row r="52" spans="1:23">
      <c r="A52" s="30">
        <v>2014</v>
      </c>
      <c r="B52">
        <v>0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</row>
    <row r="53" spans="1:23">
      <c r="A53" s="30">
        <v>2019</v>
      </c>
      <c r="B53">
        <v>1</v>
      </c>
      <c r="C53">
        <v>0</v>
      </c>
      <c r="D53">
        <v>2</v>
      </c>
      <c r="E53">
        <v>0</v>
      </c>
      <c r="F53">
        <v>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1</v>
      </c>
      <c r="U53">
        <v>1</v>
      </c>
      <c r="V53">
        <v>4</v>
      </c>
      <c r="W53">
        <v>1</v>
      </c>
    </row>
    <row r="54" spans="1:23">
      <c r="A54" s="29" t="s">
        <v>108</v>
      </c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3</v>
      </c>
      <c r="W54">
        <v>0</v>
      </c>
    </row>
    <row r="55" spans="1:23">
      <c r="A55" s="30">
        <v>2014</v>
      </c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</row>
    <row r="56" spans="1:23">
      <c r="A56" s="30">
        <v>2019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2</v>
      </c>
      <c r="W56">
        <v>0</v>
      </c>
    </row>
    <row r="57" spans="1:23">
      <c r="A57" s="29" t="s">
        <v>83</v>
      </c>
      <c r="B57">
        <v>0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2</v>
      </c>
      <c r="W57">
        <v>0</v>
      </c>
    </row>
    <row r="58" spans="1:23">
      <c r="A58" s="30">
        <v>2014</v>
      </c>
      <c r="B58">
        <v>0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</row>
    <row r="59" spans="1:23">
      <c r="A59" s="30">
        <v>2019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</row>
    <row r="60" spans="1:23">
      <c r="A60" s="29" t="s">
        <v>105</v>
      </c>
      <c r="B60">
        <v>1</v>
      </c>
      <c r="C60">
        <v>0</v>
      </c>
      <c r="D60">
        <v>1</v>
      </c>
      <c r="E60">
        <v>0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  <c r="S60">
        <v>0</v>
      </c>
      <c r="T60">
        <v>2</v>
      </c>
      <c r="U60">
        <v>0</v>
      </c>
      <c r="V60">
        <v>4</v>
      </c>
      <c r="W60">
        <v>0</v>
      </c>
    </row>
    <row r="61" spans="1:23">
      <c r="A61" s="30">
        <v>2014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2</v>
      </c>
      <c r="U61">
        <v>0</v>
      </c>
      <c r="V61">
        <v>3</v>
      </c>
      <c r="W61">
        <v>0</v>
      </c>
    </row>
    <row r="62" spans="1:23">
      <c r="A62" s="30">
        <v>2019</v>
      </c>
      <c r="B62">
        <v>0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</row>
    <row r="63" spans="1:23">
      <c r="A63" s="29" t="s">
        <v>60</v>
      </c>
      <c r="B63">
        <v>0</v>
      </c>
      <c r="C63">
        <v>0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2</v>
      </c>
      <c r="W63">
        <v>1</v>
      </c>
    </row>
    <row r="64" spans="1:23">
      <c r="A64" s="30">
        <v>2014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</row>
    <row r="65" spans="1:23">
      <c r="A65" s="30">
        <v>2019</v>
      </c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</row>
    <row r="66" spans="1:23">
      <c r="A66" s="29" t="s">
        <v>42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2</v>
      </c>
      <c r="Q66">
        <v>0</v>
      </c>
      <c r="R66">
        <v>0</v>
      </c>
      <c r="S66">
        <v>0</v>
      </c>
      <c r="T66">
        <v>3</v>
      </c>
      <c r="U66">
        <v>0</v>
      </c>
      <c r="V66">
        <v>4</v>
      </c>
      <c r="W66">
        <v>0</v>
      </c>
    </row>
    <row r="67" spans="1:23">
      <c r="A67" s="30">
        <v>2014</v>
      </c>
      <c r="B67">
        <v>0</v>
      </c>
      <c r="C67">
        <v>0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</v>
      </c>
      <c r="W67">
        <v>0</v>
      </c>
    </row>
    <row r="68" spans="1:23">
      <c r="A68" s="30">
        <v>2019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2</v>
      </c>
      <c r="U68">
        <v>0</v>
      </c>
      <c r="V68">
        <v>2</v>
      </c>
      <c r="W68">
        <v>0</v>
      </c>
    </row>
    <row r="69" spans="1:23">
      <c r="A69" s="29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2</v>
      </c>
      <c r="U69">
        <v>1</v>
      </c>
      <c r="V69">
        <v>2</v>
      </c>
      <c r="W69">
        <v>1</v>
      </c>
    </row>
    <row r="70" spans="1:23">
      <c r="A70" s="30">
        <v>2014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1</v>
      </c>
      <c r="U70">
        <v>1</v>
      </c>
      <c r="V70">
        <v>1</v>
      </c>
      <c r="W70">
        <v>1</v>
      </c>
    </row>
    <row r="71" spans="1:23">
      <c r="A71" s="30">
        <v>2019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</row>
    <row r="72" spans="1:23">
      <c r="A72" s="29" t="s">
        <v>95</v>
      </c>
      <c r="B72">
        <v>0</v>
      </c>
      <c r="C72">
        <v>0</v>
      </c>
      <c r="D72">
        <v>2</v>
      </c>
      <c r="E72">
        <v>0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</v>
      </c>
      <c r="W72">
        <v>0</v>
      </c>
    </row>
    <row r="73" spans="1:23">
      <c r="A73" s="30">
        <v>2014</v>
      </c>
      <c r="B73">
        <v>0</v>
      </c>
      <c r="C73">
        <v>0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</row>
    <row r="74" spans="1:23">
      <c r="A74" s="30">
        <v>2019</v>
      </c>
      <c r="B74">
        <v>0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</row>
    <row r="75" spans="1:23">
      <c r="A75" s="29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</row>
    <row r="76" spans="1:23">
      <c r="A76" s="30">
        <v>2014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</row>
    <row r="77" spans="1:23">
      <c r="A77" s="30">
        <v>2019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</row>
    <row r="78" spans="1:23">
      <c r="A78" s="29" t="s">
        <v>64</v>
      </c>
      <c r="B78">
        <v>0</v>
      </c>
      <c r="C78">
        <v>0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2</v>
      </c>
      <c r="W78">
        <v>2</v>
      </c>
    </row>
    <row r="79" spans="1:23">
      <c r="A79" s="30">
        <v>2014</v>
      </c>
      <c r="B79">
        <v>0</v>
      </c>
      <c r="C79">
        <v>0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</row>
    <row r="80" spans="1:23">
      <c r="A80" s="30">
        <v>2019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</row>
    <row r="81" spans="1:23">
      <c r="A81" s="29" t="s">
        <v>114</v>
      </c>
      <c r="B81">
        <v>0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  <c r="Q81">
        <v>0</v>
      </c>
      <c r="R81">
        <v>1</v>
      </c>
      <c r="S81">
        <v>0</v>
      </c>
      <c r="T81">
        <v>3</v>
      </c>
      <c r="U81">
        <v>0</v>
      </c>
      <c r="V81">
        <v>4</v>
      </c>
      <c r="W81">
        <v>0</v>
      </c>
    </row>
    <row r="82" spans="1:23">
      <c r="A82" s="30">
        <v>2014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0</v>
      </c>
      <c r="T82">
        <v>2</v>
      </c>
      <c r="U82">
        <v>0</v>
      </c>
      <c r="V82">
        <v>2</v>
      </c>
      <c r="W82">
        <v>0</v>
      </c>
    </row>
    <row r="83" spans="1:23">
      <c r="A83" s="30">
        <v>2019</v>
      </c>
      <c r="B83">
        <v>0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2</v>
      </c>
      <c r="W83">
        <v>0</v>
      </c>
    </row>
    <row r="84" spans="1:23">
      <c r="A84" s="29" t="s">
        <v>131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1</v>
      </c>
      <c r="V84">
        <v>3</v>
      </c>
      <c r="W84">
        <v>1</v>
      </c>
    </row>
    <row r="85" spans="1:23">
      <c r="A85" s="30">
        <v>2014</v>
      </c>
      <c r="B85">
        <v>0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</row>
    <row r="86" spans="1:23">
      <c r="A86" s="30">
        <v>2019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1</v>
      </c>
      <c r="V86">
        <v>2</v>
      </c>
      <c r="W86">
        <v>1</v>
      </c>
    </row>
    <row r="87" spans="1:23">
      <c r="A87" s="29" t="s">
        <v>101</v>
      </c>
      <c r="B87">
        <v>0</v>
      </c>
      <c r="C87">
        <v>0</v>
      </c>
      <c r="D87">
        <v>2</v>
      </c>
      <c r="E87">
        <v>0</v>
      </c>
      <c r="F87">
        <v>2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2</v>
      </c>
      <c r="U87">
        <v>0</v>
      </c>
      <c r="V87">
        <v>4</v>
      </c>
      <c r="W87">
        <v>0</v>
      </c>
    </row>
    <row r="88" spans="1:23">
      <c r="A88" s="30">
        <v>2014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</row>
    <row r="89" spans="1:23">
      <c r="A89" s="30">
        <v>2019</v>
      </c>
      <c r="B89">
        <v>0</v>
      </c>
      <c r="C89">
        <v>0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>
        <v>3</v>
      </c>
      <c r="W89">
        <v>0</v>
      </c>
    </row>
    <row r="90" spans="1:23">
      <c r="A90" s="29" t="s">
        <v>121</v>
      </c>
      <c r="B90">
        <v>0</v>
      </c>
      <c r="C90">
        <v>0</v>
      </c>
      <c r="D90">
        <v>1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>
        <v>2</v>
      </c>
      <c r="W90">
        <v>1</v>
      </c>
    </row>
    <row r="91" spans="1:23">
      <c r="A91" s="30">
        <v>2014</v>
      </c>
      <c r="B91">
        <v>0</v>
      </c>
      <c r="C91">
        <v>0</v>
      </c>
      <c r="D91">
        <v>1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>
        <v>2</v>
      </c>
      <c r="W91">
        <v>1</v>
      </c>
    </row>
    <row r="92" spans="1:23">
      <c r="A92" s="29" t="s">
        <v>98</v>
      </c>
      <c r="B92">
        <v>1</v>
      </c>
      <c r="C92">
        <v>1</v>
      </c>
      <c r="D92">
        <v>1</v>
      </c>
      <c r="E92">
        <v>0</v>
      </c>
      <c r="F92">
        <v>2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>
        <v>3</v>
      </c>
      <c r="W92">
        <v>1</v>
      </c>
    </row>
    <row r="93" spans="1:23">
      <c r="A93" s="30">
        <v>2014</v>
      </c>
      <c r="B93">
        <v>0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>
        <v>2</v>
      </c>
      <c r="W93">
        <v>0</v>
      </c>
    </row>
    <row r="94" spans="1:23">
      <c r="A94" s="30">
        <v>2019</v>
      </c>
      <c r="B94">
        <v>1</v>
      </c>
      <c r="C94">
        <v>1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</row>
    <row r="95" spans="1:23">
      <c r="A95" s="29" t="s">
        <v>67</v>
      </c>
      <c r="B95">
        <v>1</v>
      </c>
      <c r="C95">
        <v>1</v>
      </c>
      <c r="D95">
        <v>0</v>
      </c>
      <c r="E95">
        <v>0</v>
      </c>
      <c r="F95">
        <v>1</v>
      </c>
      <c r="G95">
        <v>1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3</v>
      </c>
      <c r="W95">
        <v>1</v>
      </c>
    </row>
    <row r="96" spans="1:23">
      <c r="A96" s="30">
        <v>2014</v>
      </c>
      <c r="B96">
        <v>1</v>
      </c>
      <c r="C96">
        <v>1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</v>
      </c>
      <c r="W96">
        <v>1</v>
      </c>
    </row>
    <row r="97" spans="1:23">
      <c r="A97" s="30">
        <v>2019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0</v>
      </c>
    </row>
    <row r="98" spans="1:23">
      <c r="A98" s="29" t="s">
        <v>92</v>
      </c>
      <c r="B98">
        <v>2</v>
      </c>
      <c r="C98">
        <v>0</v>
      </c>
      <c r="D98">
        <v>0</v>
      </c>
      <c r="E98">
        <v>0</v>
      </c>
      <c r="F98">
        <v>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1</v>
      </c>
      <c r="T98">
        <v>2</v>
      </c>
      <c r="U98">
        <v>1</v>
      </c>
      <c r="V98">
        <v>4</v>
      </c>
      <c r="W98">
        <v>1</v>
      </c>
    </row>
    <row r="99" spans="1:23">
      <c r="A99" s="30">
        <v>2014</v>
      </c>
      <c r="B99">
        <v>2</v>
      </c>
      <c r="C99">
        <v>0</v>
      </c>
      <c r="D99">
        <v>0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3</v>
      </c>
      <c r="W99">
        <v>0</v>
      </c>
    </row>
    <row r="100" spans="1:23">
      <c r="A100" s="30">
        <v>2019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</row>
    <row r="101" spans="1:23">
      <c r="A101" s="29" t="s">
        <v>111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1</v>
      </c>
      <c r="R101">
        <v>0</v>
      </c>
      <c r="S101">
        <v>0</v>
      </c>
      <c r="T101">
        <v>2</v>
      </c>
      <c r="U101">
        <v>1</v>
      </c>
      <c r="V101">
        <v>2</v>
      </c>
      <c r="W101">
        <v>1</v>
      </c>
    </row>
    <row r="102" spans="1:23">
      <c r="A102" s="30">
        <v>2014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0</v>
      </c>
    </row>
    <row r="103" spans="1:23">
      <c r="A103" s="30">
        <v>2019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1</v>
      </c>
    </row>
    <row r="104" spans="1:23">
      <c r="A104" s="29" t="s">
        <v>56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2</v>
      </c>
      <c r="S104">
        <v>0</v>
      </c>
      <c r="T104">
        <v>3</v>
      </c>
      <c r="U104">
        <v>1</v>
      </c>
      <c r="V104">
        <v>3</v>
      </c>
      <c r="W104">
        <v>1</v>
      </c>
    </row>
    <row r="105" spans="1:23">
      <c r="A105" s="30">
        <v>2014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0</v>
      </c>
    </row>
    <row r="106" spans="1:23">
      <c r="A106" s="30">
        <v>2019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0</v>
      </c>
      <c r="T106">
        <v>2</v>
      </c>
      <c r="U106">
        <v>1</v>
      </c>
      <c r="V106">
        <v>2</v>
      </c>
      <c r="W106">
        <v>1</v>
      </c>
    </row>
    <row r="107" spans="1:23">
      <c r="A107" s="29" t="s">
        <v>47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</v>
      </c>
      <c r="W107">
        <v>1</v>
      </c>
    </row>
    <row r="108" spans="1:23">
      <c r="A108" s="30">
        <v>2014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1</v>
      </c>
    </row>
    <row r="109" spans="1:23">
      <c r="A109" s="30">
        <v>2019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</row>
    <row r="110" spans="1:23">
      <c r="A110" s="29" t="s">
        <v>156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1</v>
      </c>
      <c r="W110">
        <v>1</v>
      </c>
    </row>
    <row r="111" spans="1:23">
      <c r="A111" s="30">
        <v>2019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1</v>
      </c>
      <c r="W111">
        <v>1</v>
      </c>
    </row>
    <row r="112" spans="1:23">
      <c r="A112" s="29" t="s">
        <v>187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2</v>
      </c>
      <c r="W112">
        <v>1</v>
      </c>
    </row>
    <row r="113" spans="1:23">
      <c r="A113" s="30">
        <v>2019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2</v>
      </c>
      <c r="W113">
        <v>1</v>
      </c>
    </row>
    <row r="114" spans="1:23">
      <c r="A114" s="29" t="s">
        <v>231</v>
      </c>
      <c r="B114">
        <v>12</v>
      </c>
      <c r="C114">
        <v>3</v>
      </c>
      <c r="D114">
        <v>23</v>
      </c>
      <c r="E114">
        <v>5</v>
      </c>
      <c r="F114">
        <v>35</v>
      </c>
      <c r="G114">
        <v>8</v>
      </c>
      <c r="H114">
        <v>3</v>
      </c>
      <c r="I114">
        <v>0</v>
      </c>
      <c r="J114">
        <v>2</v>
      </c>
      <c r="K114">
        <v>0</v>
      </c>
      <c r="L114">
        <v>5</v>
      </c>
      <c r="M114">
        <v>2</v>
      </c>
      <c r="N114">
        <v>7</v>
      </c>
      <c r="O114">
        <v>3</v>
      </c>
      <c r="P114">
        <v>15</v>
      </c>
      <c r="Q114">
        <v>4</v>
      </c>
      <c r="R114">
        <v>15</v>
      </c>
      <c r="S114">
        <v>5</v>
      </c>
      <c r="T114">
        <v>47</v>
      </c>
      <c r="U114">
        <v>14</v>
      </c>
      <c r="V114">
        <v>82</v>
      </c>
      <c r="W114">
        <v>22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86E79-6C50-5642-B801-A714C3F0C473}">
  <dimension ref="A1:AB79"/>
  <sheetViews>
    <sheetView zoomScale="25" workbookViewId="0">
      <selection activeCell="X52" sqref="X52"/>
    </sheetView>
  </sheetViews>
  <sheetFormatPr baseColWidth="10" defaultColWidth="11" defaultRowHeight="16"/>
  <cols>
    <col min="1" max="1" width="45.33203125" customWidth="1"/>
    <col min="2" max="2" width="15.6640625" bestFit="1" customWidth="1"/>
    <col min="3" max="3" width="17.33203125" customWidth="1"/>
    <col min="4" max="4" width="16.6640625" customWidth="1"/>
    <col min="5" max="5" width="12.1640625" bestFit="1" customWidth="1"/>
    <col min="6" max="6" width="23" customWidth="1"/>
    <col min="7" max="7" width="21.6640625" customWidth="1"/>
    <col min="8" max="9" width="12.1640625" bestFit="1" customWidth="1"/>
    <col min="10" max="10" width="24.1640625" bestFit="1" customWidth="1"/>
    <col min="11" max="12" width="4.83203125" bestFit="1" customWidth="1"/>
    <col min="13" max="13" width="2.1640625" bestFit="1" customWidth="1"/>
    <col min="14" max="20" width="4.1640625" bestFit="1" customWidth="1"/>
    <col min="21" max="21" width="2.1640625" bestFit="1" customWidth="1"/>
    <col min="22" max="23" width="4.1640625" bestFit="1" customWidth="1"/>
    <col min="24" max="25" width="34.5" bestFit="1" customWidth="1"/>
    <col min="26" max="26" width="16.1640625" customWidth="1"/>
    <col min="27" max="27" width="34.5" bestFit="1" customWidth="1"/>
    <col min="28" max="28" width="16.6640625" bestFit="1" customWidth="1"/>
    <col min="29" max="33" width="4.1640625" bestFit="1" customWidth="1"/>
    <col min="34" max="34" width="2.1640625" bestFit="1" customWidth="1"/>
    <col min="35" max="38" width="4.1640625" bestFit="1" customWidth="1"/>
    <col min="39" max="48" width="5.1640625" bestFit="1" customWidth="1"/>
    <col min="49" max="49" width="10.5" bestFit="1" customWidth="1"/>
  </cols>
  <sheetData>
    <row r="1" spans="1:28">
      <c r="X1" s="53" t="s">
        <v>282</v>
      </c>
      <c r="Y1" t="s">
        <v>285</v>
      </c>
      <c r="AA1" s="53" t="s">
        <v>282</v>
      </c>
      <c r="AB1" t="s">
        <v>281</v>
      </c>
    </row>
    <row r="2" spans="1:28">
      <c r="A2" s="28" t="s">
        <v>245</v>
      </c>
      <c r="B2" s="28" t="s">
        <v>246</v>
      </c>
      <c r="X2" s="53" t="s">
        <v>283</v>
      </c>
      <c r="Y2">
        <v>35</v>
      </c>
      <c r="AA2" s="53" t="s">
        <v>283</v>
      </c>
      <c r="AB2">
        <v>47</v>
      </c>
    </row>
    <row r="3" spans="1:28">
      <c r="A3" s="28" t="s">
        <v>247</v>
      </c>
      <c r="B3" t="s">
        <v>39</v>
      </c>
      <c r="C3" t="s">
        <v>54</v>
      </c>
      <c r="D3" t="s">
        <v>231</v>
      </c>
      <c r="X3" s="53" t="s">
        <v>280</v>
      </c>
      <c r="Y3">
        <v>8</v>
      </c>
      <c r="AA3" s="53" t="s">
        <v>280</v>
      </c>
      <c r="AB3">
        <v>14</v>
      </c>
    </row>
    <row r="4" spans="1:28">
      <c r="A4" s="29">
        <v>2014</v>
      </c>
      <c r="B4">
        <v>4.7500000000000009</v>
      </c>
      <c r="C4" s="31">
        <v>4.9142857142857155</v>
      </c>
      <c r="D4" s="31">
        <v>4.8341463414634154</v>
      </c>
    </row>
    <row r="5" spans="1:28">
      <c r="A5" s="29">
        <v>2019</v>
      </c>
      <c r="B5" s="31">
        <v>1.4066666666666665</v>
      </c>
      <c r="C5" s="31">
        <v>2.7307692307692308</v>
      </c>
      <c r="D5" s="31">
        <v>2.2463414634146335</v>
      </c>
    </row>
    <row r="6" spans="1:28">
      <c r="A6" s="29" t="s">
        <v>231</v>
      </c>
      <c r="B6" s="31">
        <v>3.3171428571428576</v>
      </c>
      <c r="C6" s="31">
        <v>3.7063829787234046</v>
      </c>
      <c r="D6" s="31">
        <v>3.5402439024390246</v>
      </c>
    </row>
    <row r="21" spans="1:10">
      <c r="A21" t="s">
        <v>278</v>
      </c>
      <c r="B21" s="48" t="s">
        <v>38</v>
      </c>
      <c r="C21" s="48" t="s">
        <v>45</v>
      </c>
      <c r="D21" t="s">
        <v>53</v>
      </c>
      <c r="E21" t="s">
        <v>103</v>
      </c>
      <c r="F21" t="s">
        <v>144</v>
      </c>
      <c r="G21" t="s">
        <v>119</v>
      </c>
      <c r="H21" t="s">
        <v>58</v>
      </c>
      <c r="I21" s="48" t="s">
        <v>62</v>
      </c>
      <c r="J21" t="s">
        <v>279</v>
      </c>
    </row>
    <row r="22" spans="1:10">
      <c r="A22" t="s">
        <v>245</v>
      </c>
      <c r="B22" s="51">
        <v>3.4250000000000003</v>
      </c>
      <c r="C22" s="51">
        <v>3.2608695652173911</v>
      </c>
      <c r="D22" s="31">
        <v>4.0714285714285712</v>
      </c>
      <c r="E22" s="31">
        <v>6.6666666666666652E-2</v>
      </c>
      <c r="F22">
        <v>1.25</v>
      </c>
      <c r="G22">
        <v>7.3599999999999994</v>
      </c>
      <c r="H22" s="31">
        <v>4.3933333333333326</v>
      </c>
      <c r="I22" s="51">
        <v>2.686666666666667</v>
      </c>
      <c r="J22" s="31">
        <v>3.5402439024390246</v>
      </c>
    </row>
    <row r="23" spans="1:10">
      <c r="B23" s="50"/>
      <c r="C23" s="50"/>
      <c r="I23" s="50"/>
    </row>
    <row r="24" spans="1:10">
      <c r="B24" s="49"/>
      <c r="C24" s="49"/>
      <c r="I24" s="49"/>
    </row>
    <row r="49" spans="1:4">
      <c r="A49" s="26" t="s">
        <v>5</v>
      </c>
      <c r="B49" s="26" t="s">
        <v>220</v>
      </c>
      <c r="C49" s="53" t="s">
        <v>221</v>
      </c>
      <c r="D49" s="26" t="s">
        <v>222</v>
      </c>
    </row>
    <row r="50" spans="1:4">
      <c r="A50" s="41" t="s">
        <v>187</v>
      </c>
      <c r="B50" s="41">
        <v>2</v>
      </c>
      <c r="C50" s="38">
        <v>1</v>
      </c>
      <c r="D50" s="27">
        <v>0.5</v>
      </c>
    </row>
    <row r="51" spans="1:4">
      <c r="A51" s="7" t="s">
        <v>47</v>
      </c>
      <c r="B51" s="7">
        <v>2</v>
      </c>
      <c r="C51" s="54">
        <v>1</v>
      </c>
      <c r="D51" s="27">
        <v>0.5</v>
      </c>
    </row>
    <row r="52" spans="1:4">
      <c r="A52" s="46" t="s">
        <v>56</v>
      </c>
      <c r="B52" s="46">
        <v>3</v>
      </c>
      <c r="C52" s="38">
        <v>1</v>
      </c>
      <c r="D52" s="52">
        <v>0.33333333333333331</v>
      </c>
    </row>
    <row r="53" spans="1:4">
      <c r="A53" s="46" t="s">
        <v>111</v>
      </c>
      <c r="B53" s="46">
        <v>2</v>
      </c>
      <c r="C53" s="38">
        <v>1</v>
      </c>
      <c r="D53" s="52">
        <v>0.5</v>
      </c>
    </row>
    <row r="54" spans="1:4">
      <c r="A54" s="7" t="s">
        <v>92</v>
      </c>
      <c r="B54" s="7">
        <v>4</v>
      </c>
      <c r="C54" s="54">
        <v>1</v>
      </c>
      <c r="D54" s="27">
        <v>0.25</v>
      </c>
    </row>
    <row r="55" spans="1:4">
      <c r="A55" s="7" t="s">
        <v>67</v>
      </c>
      <c r="B55" s="7">
        <v>3</v>
      </c>
      <c r="C55" s="54">
        <v>1</v>
      </c>
      <c r="D55" s="27">
        <v>0.33333333333333331</v>
      </c>
    </row>
    <row r="56" spans="1:4">
      <c r="A56" s="7" t="s">
        <v>98</v>
      </c>
      <c r="B56" s="7">
        <v>3</v>
      </c>
      <c r="C56" s="54">
        <v>1</v>
      </c>
      <c r="D56" s="27">
        <v>0.33333333333333331</v>
      </c>
    </row>
    <row r="57" spans="1:4">
      <c r="A57" s="7" t="s">
        <v>121</v>
      </c>
      <c r="B57" s="7">
        <v>2</v>
      </c>
      <c r="C57" s="54">
        <v>1</v>
      </c>
      <c r="D57" s="27">
        <v>0.5</v>
      </c>
    </row>
    <row r="58" spans="1:4">
      <c r="A58" s="46" t="s">
        <v>101</v>
      </c>
      <c r="B58" s="46">
        <v>4</v>
      </c>
      <c r="C58" s="38">
        <v>0</v>
      </c>
      <c r="D58" s="52">
        <v>0</v>
      </c>
    </row>
    <row r="59" spans="1:4">
      <c r="A59" s="7" t="s">
        <v>131</v>
      </c>
      <c r="B59" s="7">
        <v>3</v>
      </c>
      <c r="C59" s="54">
        <v>1</v>
      </c>
      <c r="D59" s="27">
        <v>0.33333333333333331</v>
      </c>
    </row>
    <row r="60" spans="1:4">
      <c r="A60" s="46" t="s">
        <v>114</v>
      </c>
      <c r="B60" s="46">
        <v>3</v>
      </c>
      <c r="C60" s="38">
        <v>0</v>
      </c>
      <c r="D60" s="52">
        <v>0</v>
      </c>
    </row>
    <row r="61" spans="1:4">
      <c r="A61" s="7" t="s">
        <v>64</v>
      </c>
      <c r="B61" s="7">
        <v>2</v>
      </c>
      <c r="C61" s="54">
        <v>2</v>
      </c>
      <c r="D61" s="27">
        <v>1</v>
      </c>
    </row>
    <row r="62" spans="1:4">
      <c r="A62" s="46" t="s">
        <v>81</v>
      </c>
      <c r="B62" s="46">
        <v>2</v>
      </c>
      <c r="C62" s="38">
        <v>2</v>
      </c>
      <c r="D62" s="52">
        <v>1</v>
      </c>
    </row>
    <row r="63" spans="1:4">
      <c r="A63" s="46" t="s">
        <v>271</v>
      </c>
      <c r="B63" s="46">
        <v>1</v>
      </c>
      <c r="C63" s="38">
        <v>1</v>
      </c>
      <c r="D63" s="47">
        <v>1</v>
      </c>
    </row>
    <row r="64" spans="1:4">
      <c r="A64" s="7" t="s">
        <v>95</v>
      </c>
      <c r="B64" s="7">
        <v>2</v>
      </c>
      <c r="C64" s="54">
        <v>0</v>
      </c>
      <c r="D64" s="27">
        <v>0</v>
      </c>
    </row>
    <row r="65" spans="1:4">
      <c r="A65" s="46" t="s">
        <v>73</v>
      </c>
      <c r="B65" s="46">
        <v>2</v>
      </c>
      <c r="C65" s="38">
        <v>1</v>
      </c>
      <c r="D65" s="47">
        <v>0.5</v>
      </c>
    </row>
    <row r="66" spans="1:4">
      <c r="A66" s="7" t="s">
        <v>42</v>
      </c>
      <c r="B66" s="7">
        <v>4</v>
      </c>
      <c r="C66" s="54">
        <v>0</v>
      </c>
      <c r="D66" s="27">
        <v>0</v>
      </c>
    </row>
    <row r="67" spans="1:4">
      <c r="A67" s="41" t="s">
        <v>60</v>
      </c>
      <c r="B67" s="41">
        <v>2</v>
      </c>
      <c r="C67" s="38">
        <v>1</v>
      </c>
      <c r="D67" s="27">
        <v>0.5</v>
      </c>
    </row>
    <row r="68" spans="1:4">
      <c r="A68" s="7" t="s">
        <v>105</v>
      </c>
      <c r="B68" s="7">
        <v>3</v>
      </c>
      <c r="C68" s="54">
        <v>0</v>
      </c>
      <c r="D68" s="27">
        <v>0</v>
      </c>
    </row>
    <row r="69" spans="1:4">
      <c r="A69" s="7" t="s">
        <v>83</v>
      </c>
      <c r="B69" s="7">
        <v>2</v>
      </c>
      <c r="C69" s="54">
        <v>0</v>
      </c>
      <c r="D69" s="27">
        <v>0</v>
      </c>
    </row>
    <row r="70" spans="1:4">
      <c r="A70" s="7" t="s">
        <v>108</v>
      </c>
      <c r="B70" s="7">
        <v>3</v>
      </c>
      <c r="C70" s="54">
        <v>0</v>
      </c>
      <c r="D70" s="27">
        <v>0</v>
      </c>
    </row>
    <row r="71" spans="1:4">
      <c r="A71" s="7" t="s">
        <v>89</v>
      </c>
      <c r="B71" s="7">
        <v>5</v>
      </c>
      <c r="C71" s="54">
        <v>1</v>
      </c>
      <c r="D71" s="27">
        <v>0.2</v>
      </c>
    </row>
    <row r="72" spans="1:4">
      <c r="A72" s="46" t="s">
        <v>51</v>
      </c>
      <c r="B72" s="46">
        <v>2</v>
      </c>
      <c r="C72" s="38">
        <v>1</v>
      </c>
      <c r="D72" s="47">
        <v>0.5</v>
      </c>
    </row>
    <row r="73" spans="1:4">
      <c r="A73" s="7" t="s">
        <v>124</v>
      </c>
      <c r="B73" s="7">
        <v>3</v>
      </c>
      <c r="C73" s="54">
        <v>1</v>
      </c>
      <c r="D73" s="27">
        <v>0.33333333333333331</v>
      </c>
    </row>
    <row r="74" spans="1:4">
      <c r="A74" s="5" t="s">
        <v>78</v>
      </c>
      <c r="B74" s="7">
        <v>3</v>
      </c>
      <c r="C74" s="54">
        <v>0</v>
      </c>
      <c r="D74" s="27">
        <v>0</v>
      </c>
    </row>
    <row r="75" spans="1:4">
      <c r="A75" s="46" t="s">
        <v>136</v>
      </c>
      <c r="B75" s="46">
        <v>3</v>
      </c>
      <c r="C75" s="38">
        <v>1</v>
      </c>
      <c r="D75" s="47">
        <v>0.33333333333333331</v>
      </c>
    </row>
    <row r="76" spans="1:4">
      <c r="A76" s="7" t="s">
        <v>70</v>
      </c>
      <c r="B76" s="7">
        <v>3</v>
      </c>
      <c r="C76" s="54">
        <v>1</v>
      </c>
      <c r="D76" s="27">
        <v>0.33333333333333331</v>
      </c>
    </row>
    <row r="77" spans="1:4">
      <c r="A77" s="46" t="s">
        <v>117</v>
      </c>
      <c r="B77" s="46">
        <v>2</v>
      </c>
      <c r="C77" s="38">
        <v>1</v>
      </c>
      <c r="D77" s="47">
        <v>0.5</v>
      </c>
    </row>
    <row r="78" spans="1:4">
      <c r="A78" s="7" t="s">
        <v>35</v>
      </c>
      <c r="B78" s="5">
        <v>3</v>
      </c>
      <c r="C78" s="54">
        <v>0</v>
      </c>
      <c r="D78" s="27">
        <v>0</v>
      </c>
    </row>
    <row r="79" spans="1:4">
      <c r="A79" s="7" t="s">
        <v>86</v>
      </c>
      <c r="B79" s="5">
        <v>2</v>
      </c>
      <c r="C79" s="54">
        <v>0</v>
      </c>
      <c r="D79" s="27">
        <v>0</v>
      </c>
    </row>
  </sheetData>
  <phoneticPr fontId="31" type="noConversion"/>
  <pageMargins left="0.7" right="0.7" top="0.75" bottom="0.75" header="0.3" footer="0.3"/>
  <drawing r:id="rId2"/>
  <tableParts count="4"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F4854-C446-1743-B10D-E76AF7E14269}">
  <dimension ref="A1:R96"/>
  <sheetViews>
    <sheetView topLeftCell="C1" workbookViewId="0">
      <selection activeCell="B60" sqref="B60"/>
    </sheetView>
  </sheetViews>
  <sheetFormatPr baseColWidth="10" defaultColWidth="11" defaultRowHeight="16"/>
  <cols>
    <col min="1" max="1" width="17.5" customWidth="1"/>
    <col min="7" max="7" width="12.6640625" customWidth="1"/>
    <col min="12" max="12" width="13" customWidth="1"/>
  </cols>
  <sheetData>
    <row r="1" spans="1:18" ht="22">
      <c r="A1" s="120" t="s">
        <v>286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55"/>
      <c r="N1" s="55"/>
      <c r="O1" s="55"/>
      <c r="P1" s="55"/>
      <c r="Q1" s="55"/>
      <c r="R1" s="55"/>
    </row>
    <row r="2" spans="1:18" ht="45">
      <c r="A2" s="1" t="s">
        <v>8</v>
      </c>
      <c r="B2" s="25" t="s">
        <v>5</v>
      </c>
      <c r="C2" s="25" t="s">
        <v>203</v>
      </c>
      <c r="D2" s="1" t="s">
        <v>9</v>
      </c>
      <c r="E2" s="1" t="s">
        <v>10</v>
      </c>
      <c r="F2" s="1" t="s">
        <v>288</v>
      </c>
      <c r="G2" s="26" t="s">
        <v>289</v>
      </c>
      <c r="H2" s="10" t="s">
        <v>27</v>
      </c>
      <c r="I2" s="10" t="s">
        <v>28</v>
      </c>
      <c r="J2" s="10" t="s">
        <v>29</v>
      </c>
      <c r="K2" s="10" t="s">
        <v>30</v>
      </c>
      <c r="L2" s="10" t="s">
        <v>31</v>
      </c>
    </row>
    <row r="3" spans="1:18">
      <c r="A3" s="2" t="s">
        <v>37</v>
      </c>
      <c r="B3" s="7" t="s">
        <v>35</v>
      </c>
      <c r="C3" s="7">
        <v>2014</v>
      </c>
      <c r="D3" s="2" t="s">
        <v>38</v>
      </c>
      <c r="E3" s="2" t="s">
        <v>39</v>
      </c>
      <c r="F3" s="2">
        <v>0</v>
      </c>
      <c r="H3" s="2">
        <v>43</v>
      </c>
      <c r="I3" s="2">
        <v>7</v>
      </c>
      <c r="J3" s="2">
        <v>18</v>
      </c>
      <c r="K3" s="13">
        <v>5.18</v>
      </c>
      <c r="L3" s="11">
        <v>1.76</v>
      </c>
    </row>
    <row r="4" spans="1:18">
      <c r="A4" s="2" t="s">
        <v>44</v>
      </c>
      <c r="B4" s="7" t="s">
        <v>42</v>
      </c>
      <c r="C4" s="7">
        <v>2014</v>
      </c>
      <c r="D4" s="2" t="s">
        <v>45</v>
      </c>
      <c r="E4" s="2" t="s">
        <v>39</v>
      </c>
      <c r="F4" s="2">
        <v>0</v>
      </c>
      <c r="H4" s="2">
        <v>64</v>
      </c>
      <c r="I4" s="2">
        <v>6</v>
      </c>
      <c r="J4" s="2">
        <v>16</v>
      </c>
      <c r="K4" s="13">
        <v>5.66</v>
      </c>
      <c r="L4" s="11">
        <v>1.7290000000000001</v>
      </c>
    </row>
    <row r="5" spans="1:18">
      <c r="A5" s="2" t="s">
        <v>79</v>
      </c>
      <c r="B5" s="5" t="s">
        <v>78</v>
      </c>
      <c r="C5" s="5">
        <v>2014</v>
      </c>
      <c r="D5" s="2" t="s">
        <v>38</v>
      </c>
      <c r="E5" s="2" t="s">
        <v>39</v>
      </c>
      <c r="F5" s="2">
        <v>0</v>
      </c>
      <c r="H5" s="2">
        <v>179</v>
      </c>
      <c r="I5" s="2">
        <v>27</v>
      </c>
      <c r="J5" s="2">
        <v>44</v>
      </c>
      <c r="K5" s="13">
        <v>4.91</v>
      </c>
      <c r="L5" s="11">
        <v>1.5</v>
      </c>
    </row>
    <row r="6" spans="1:18">
      <c r="A6" s="2" t="s">
        <v>48</v>
      </c>
      <c r="B6" s="7" t="s">
        <v>47</v>
      </c>
      <c r="C6" s="7">
        <v>2014</v>
      </c>
      <c r="D6" s="2" t="s">
        <v>38</v>
      </c>
      <c r="E6" s="2" t="s">
        <v>39</v>
      </c>
      <c r="F6" s="2">
        <v>16.100000000000001</v>
      </c>
      <c r="H6" s="2">
        <v>23</v>
      </c>
      <c r="I6" s="2">
        <v>2</v>
      </c>
      <c r="J6" s="2">
        <v>6</v>
      </c>
      <c r="K6" s="13">
        <v>3.98</v>
      </c>
      <c r="L6" s="11">
        <v>1.27</v>
      </c>
    </row>
    <row r="7" spans="1:18">
      <c r="A7" s="2" t="s">
        <v>65</v>
      </c>
      <c r="B7" s="7" t="s">
        <v>64</v>
      </c>
      <c r="C7" s="7">
        <v>2014</v>
      </c>
      <c r="D7" s="2" t="s">
        <v>45</v>
      </c>
      <c r="E7" s="2" t="s">
        <v>39</v>
      </c>
      <c r="F7" s="2">
        <v>33.1</v>
      </c>
      <c r="H7" s="2">
        <v>32</v>
      </c>
      <c r="I7" s="2">
        <v>15</v>
      </c>
      <c r="J7" s="2">
        <v>7</v>
      </c>
      <c r="K7" s="13">
        <v>2.4700000000000002</v>
      </c>
      <c r="L7" s="11">
        <v>1.034</v>
      </c>
    </row>
    <row r="8" spans="1:18">
      <c r="A8" s="2" t="s">
        <v>68</v>
      </c>
      <c r="B8" s="7" t="s">
        <v>67</v>
      </c>
      <c r="C8" s="5">
        <v>2014</v>
      </c>
      <c r="D8" s="2" t="s">
        <v>38</v>
      </c>
      <c r="E8" s="2" t="s">
        <v>39</v>
      </c>
      <c r="F8" s="2">
        <v>17.2</v>
      </c>
      <c r="H8" s="2">
        <v>56</v>
      </c>
      <c r="I8" s="2">
        <v>18</v>
      </c>
      <c r="J8" s="2">
        <v>17</v>
      </c>
      <c r="K8" s="13">
        <v>3.93</v>
      </c>
      <c r="L8" s="11">
        <v>1.2709999999999999</v>
      </c>
    </row>
    <row r="9" spans="1:18">
      <c r="A9" s="2" t="s">
        <v>71</v>
      </c>
      <c r="B9" s="7" t="s">
        <v>70</v>
      </c>
      <c r="C9" s="7">
        <v>2014</v>
      </c>
      <c r="D9" s="2" t="s">
        <v>45</v>
      </c>
      <c r="E9" s="2" t="s">
        <v>39</v>
      </c>
      <c r="F9" s="2">
        <v>2.8</v>
      </c>
      <c r="H9" s="2">
        <v>105</v>
      </c>
      <c r="I9" s="2">
        <v>26</v>
      </c>
      <c r="J9" s="2">
        <v>36</v>
      </c>
      <c r="K9" s="13">
        <v>4.76</v>
      </c>
      <c r="L9" s="11">
        <v>1.359</v>
      </c>
    </row>
    <row r="10" spans="1:18">
      <c r="A10" s="2" t="s">
        <v>84</v>
      </c>
      <c r="B10" s="7" t="s">
        <v>83</v>
      </c>
      <c r="C10" s="7">
        <v>2014</v>
      </c>
      <c r="D10" s="2" t="s">
        <v>45</v>
      </c>
      <c r="E10" s="2" t="s">
        <v>39</v>
      </c>
      <c r="F10" s="2">
        <v>-1.2</v>
      </c>
      <c r="H10" s="2">
        <v>137</v>
      </c>
      <c r="I10" s="2">
        <v>25</v>
      </c>
      <c r="J10" s="2">
        <v>45</v>
      </c>
      <c r="K10" s="13">
        <v>4.4400000000000004</v>
      </c>
      <c r="L10" s="11">
        <v>1.58</v>
      </c>
    </row>
    <row r="11" spans="1:18" ht="30">
      <c r="A11" s="2" t="s">
        <v>87</v>
      </c>
      <c r="B11" s="7" t="s">
        <v>86</v>
      </c>
      <c r="C11" s="5">
        <v>2014</v>
      </c>
      <c r="D11" s="2" t="s">
        <v>38</v>
      </c>
      <c r="E11" s="2" t="s">
        <v>39</v>
      </c>
      <c r="F11" s="2">
        <v>2.4</v>
      </c>
      <c r="H11" s="2">
        <v>175</v>
      </c>
      <c r="I11" s="2">
        <v>28</v>
      </c>
      <c r="J11" s="2">
        <v>25</v>
      </c>
      <c r="K11" s="13">
        <v>4.51</v>
      </c>
      <c r="L11" s="11">
        <v>1.47</v>
      </c>
    </row>
    <row r="12" spans="1:18">
      <c r="A12" s="2" t="s">
        <v>90</v>
      </c>
      <c r="B12" s="7" t="s">
        <v>89</v>
      </c>
      <c r="C12" s="7">
        <v>2014</v>
      </c>
      <c r="D12" s="2" t="s">
        <v>45</v>
      </c>
      <c r="E12" s="2" t="s">
        <v>39</v>
      </c>
      <c r="F12" s="2">
        <v>0.3</v>
      </c>
      <c r="H12" s="2">
        <v>183</v>
      </c>
      <c r="I12" s="2">
        <v>36</v>
      </c>
      <c r="J12" s="2">
        <v>51</v>
      </c>
      <c r="K12" s="13">
        <v>4.43</v>
      </c>
      <c r="L12" s="11">
        <v>1.4</v>
      </c>
    </row>
    <row r="13" spans="1:18" ht="30">
      <c r="A13" s="2" t="s">
        <v>93</v>
      </c>
      <c r="B13" s="7" t="s">
        <v>92</v>
      </c>
      <c r="C13" s="7">
        <v>2014</v>
      </c>
      <c r="D13" s="2" t="s">
        <v>38</v>
      </c>
      <c r="E13" s="2" t="s">
        <v>39</v>
      </c>
      <c r="F13" s="2">
        <v>2.2000000000000002</v>
      </c>
      <c r="H13" s="2">
        <v>147</v>
      </c>
      <c r="I13" s="2">
        <v>8</v>
      </c>
      <c r="J13" s="2">
        <v>25</v>
      </c>
      <c r="K13" s="13">
        <v>5.55</v>
      </c>
      <c r="L13" s="11">
        <v>1.63</v>
      </c>
    </row>
    <row r="14" spans="1:18">
      <c r="A14" s="2" t="s">
        <v>96</v>
      </c>
      <c r="B14" s="7" t="s">
        <v>95</v>
      </c>
      <c r="C14" s="5">
        <v>2014</v>
      </c>
      <c r="D14" s="2" t="s">
        <v>45</v>
      </c>
      <c r="E14" s="2" t="s">
        <v>39</v>
      </c>
      <c r="F14" s="2">
        <v>3.7</v>
      </c>
      <c r="H14" s="2">
        <v>89</v>
      </c>
      <c r="I14" s="2">
        <v>23</v>
      </c>
      <c r="J14" s="2">
        <v>19</v>
      </c>
      <c r="K14" s="13">
        <v>3.69</v>
      </c>
      <c r="L14" s="11">
        <v>1.25</v>
      </c>
    </row>
    <row r="15" spans="1:18">
      <c r="A15" s="2" t="s">
        <v>99</v>
      </c>
      <c r="B15" s="7" t="s">
        <v>98</v>
      </c>
      <c r="C15" s="7">
        <v>2014</v>
      </c>
      <c r="D15" s="2" t="s">
        <v>45</v>
      </c>
      <c r="E15" s="2" t="s">
        <v>39</v>
      </c>
      <c r="F15" s="2">
        <v>0</v>
      </c>
      <c r="H15" s="2">
        <v>173</v>
      </c>
      <c r="I15" s="2">
        <v>11</v>
      </c>
      <c r="J15" s="2">
        <v>12</v>
      </c>
      <c r="K15" s="13">
        <v>5.5</v>
      </c>
      <c r="L15" s="11">
        <v>1.84</v>
      </c>
    </row>
    <row r="16" spans="1:18">
      <c r="A16" s="2" t="s">
        <v>109</v>
      </c>
      <c r="B16" s="7" t="s">
        <v>108</v>
      </c>
      <c r="C16" s="7">
        <v>2014</v>
      </c>
      <c r="D16" s="2" t="s">
        <v>45</v>
      </c>
      <c r="E16" s="2" t="s">
        <v>39</v>
      </c>
      <c r="F16" s="2">
        <v>0.3</v>
      </c>
      <c r="H16" s="2">
        <v>250</v>
      </c>
      <c r="I16" s="2">
        <v>48</v>
      </c>
      <c r="J16" s="2">
        <v>41</v>
      </c>
      <c r="K16" s="13">
        <v>4.47</v>
      </c>
      <c r="L16" s="11">
        <v>1.43</v>
      </c>
    </row>
    <row r="17" spans="1:12">
      <c r="A17" s="2" t="s">
        <v>125</v>
      </c>
      <c r="B17" s="7" t="s">
        <v>124</v>
      </c>
      <c r="C17" s="5">
        <v>2014</v>
      </c>
      <c r="D17" s="2" t="s">
        <v>45</v>
      </c>
      <c r="E17" s="2" t="s">
        <v>39</v>
      </c>
      <c r="F17" s="2">
        <v>1.9</v>
      </c>
      <c r="H17" s="2">
        <v>61</v>
      </c>
      <c r="I17" s="2">
        <v>25</v>
      </c>
      <c r="J17" s="2">
        <v>11</v>
      </c>
      <c r="K17" s="13">
        <v>2.13</v>
      </c>
      <c r="L17" s="11">
        <v>1.07</v>
      </c>
    </row>
    <row r="18" spans="1:12">
      <c r="A18" s="2" t="s">
        <v>127</v>
      </c>
      <c r="B18" s="7" t="s">
        <v>92</v>
      </c>
      <c r="C18" s="7">
        <v>2014</v>
      </c>
      <c r="D18" s="2" t="s">
        <v>38</v>
      </c>
      <c r="E18" s="2" t="s">
        <v>39</v>
      </c>
      <c r="F18" s="2">
        <v>-0.1</v>
      </c>
      <c r="H18" s="2">
        <v>193</v>
      </c>
      <c r="I18" s="2">
        <v>49</v>
      </c>
      <c r="J18" s="2">
        <v>49</v>
      </c>
      <c r="K18" s="13">
        <v>4.54</v>
      </c>
      <c r="L18" s="11">
        <v>1.44</v>
      </c>
    </row>
    <row r="19" spans="1:12">
      <c r="A19" s="2" t="s">
        <v>132</v>
      </c>
      <c r="B19" s="7" t="s">
        <v>131</v>
      </c>
      <c r="C19" s="7">
        <v>2014</v>
      </c>
      <c r="D19" s="2" t="s">
        <v>45</v>
      </c>
      <c r="E19" s="2" t="s">
        <v>39</v>
      </c>
      <c r="F19" s="2">
        <v>0</v>
      </c>
      <c r="H19" s="2">
        <v>62</v>
      </c>
      <c r="I19" s="2">
        <v>5</v>
      </c>
      <c r="J19" s="2">
        <v>16</v>
      </c>
      <c r="K19" s="13">
        <v>6.28</v>
      </c>
      <c r="L19" s="11">
        <v>1.83</v>
      </c>
    </row>
    <row r="20" spans="1:12">
      <c r="A20" s="2" t="s">
        <v>134</v>
      </c>
      <c r="B20" s="7" t="s">
        <v>105</v>
      </c>
      <c r="C20" s="5">
        <v>2014</v>
      </c>
      <c r="D20" s="2" t="s">
        <v>38</v>
      </c>
      <c r="E20" s="2" t="s">
        <v>39</v>
      </c>
      <c r="F20" s="2">
        <v>-0.9</v>
      </c>
      <c r="H20" s="2">
        <v>186</v>
      </c>
      <c r="I20" s="2">
        <v>52</v>
      </c>
      <c r="J20" s="2">
        <v>49</v>
      </c>
      <c r="K20" s="13">
        <v>4.2</v>
      </c>
      <c r="L20" s="11">
        <v>1.63</v>
      </c>
    </row>
    <row r="21" spans="1:12" ht="30">
      <c r="A21" s="2" t="s">
        <v>139</v>
      </c>
      <c r="B21" s="7" t="s">
        <v>121</v>
      </c>
      <c r="C21" s="7">
        <v>2014</v>
      </c>
      <c r="D21" s="2" t="s">
        <v>45</v>
      </c>
      <c r="E21" s="2" t="s">
        <v>39</v>
      </c>
      <c r="F21" s="2">
        <v>4.9000000000000004</v>
      </c>
      <c r="H21" s="2">
        <v>77</v>
      </c>
      <c r="I21" s="2">
        <v>24</v>
      </c>
      <c r="J21" s="2">
        <v>21</v>
      </c>
      <c r="K21" s="13">
        <v>2.99</v>
      </c>
      <c r="L21" s="11">
        <v>1.2</v>
      </c>
    </row>
    <row r="22" spans="1:12">
      <c r="A22" s="2" t="s">
        <v>141</v>
      </c>
      <c r="B22" s="7" t="s">
        <v>124</v>
      </c>
      <c r="C22" s="7">
        <v>2014</v>
      </c>
      <c r="D22" s="2" t="s">
        <v>45</v>
      </c>
      <c r="E22" s="2" t="s">
        <v>39</v>
      </c>
      <c r="F22" s="2">
        <v>12.3</v>
      </c>
      <c r="H22" s="2">
        <v>90</v>
      </c>
      <c r="I22" s="2">
        <v>34</v>
      </c>
      <c r="J22" s="2">
        <v>20</v>
      </c>
      <c r="K22" s="13">
        <v>2.79</v>
      </c>
      <c r="L22" s="11">
        <v>1.1599999999999999</v>
      </c>
    </row>
    <row r="23" spans="1:12">
      <c r="A23" s="2" t="s">
        <v>163</v>
      </c>
      <c r="B23" s="7" t="s">
        <v>98</v>
      </c>
      <c r="C23" s="7">
        <v>2019</v>
      </c>
      <c r="D23" s="2" t="s">
        <v>38</v>
      </c>
      <c r="E23" s="2" t="s">
        <v>39</v>
      </c>
      <c r="F23" s="2">
        <v>4.2</v>
      </c>
      <c r="H23" s="5">
        <v>30</v>
      </c>
      <c r="I23" s="5">
        <v>2</v>
      </c>
      <c r="J23" s="5">
        <v>5</v>
      </c>
      <c r="K23" s="17">
        <v>2.7</v>
      </c>
      <c r="L23" s="5">
        <v>1.0900000000000001</v>
      </c>
    </row>
    <row r="24" spans="1:12">
      <c r="A24" s="2" t="s">
        <v>167</v>
      </c>
      <c r="B24" s="7" t="s">
        <v>70</v>
      </c>
      <c r="C24" s="7">
        <v>2019</v>
      </c>
      <c r="D24" s="2" t="s">
        <v>45</v>
      </c>
      <c r="E24" s="2" t="s">
        <v>39</v>
      </c>
      <c r="F24" s="2">
        <v>7.5</v>
      </c>
      <c r="H24" s="5">
        <v>16</v>
      </c>
      <c r="I24" s="5">
        <v>3</v>
      </c>
      <c r="J24" s="5">
        <v>4</v>
      </c>
      <c r="K24" s="5">
        <v>5.34</v>
      </c>
      <c r="L24" s="5">
        <v>1.36</v>
      </c>
    </row>
    <row r="25" spans="1:12" ht="30">
      <c r="A25" s="2" t="s">
        <v>174</v>
      </c>
      <c r="B25" s="7" t="s">
        <v>95</v>
      </c>
      <c r="C25" s="7">
        <v>2019</v>
      </c>
      <c r="D25" s="2" t="s">
        <v>45</v>
      </c>
      <c r="E25" s="2" t="s">
        <v>39</v>
      </c>
      <c r="F25" s="2">
        <v>-0.1</v>
      </c>
      <c r="H25" s="5">
        <v>85</v>
      </c>
      <c r="I25" s="5">
        <v>23</v>
      </c>
      <c r="J25" s="5">
        <v>22</v>
      </c>
      <c r="K25" s="5">
        <v>5.08</v>
      </c>
      <c r="L25" s="5">
        <v>1.4</v>
      </c>
    </row>
    <row r="26" spans="1:12">
      <c r="A26" s="2" t="s">
        <v>175</v>
      </c>
      <c r="B26" s="7" t="s">
        <v>114</v>
      </c>
      <c r="C26" s="7">
        <v>2019</v>
      </c>
      <c r="D26" s="2" t="s">
        <v>45</v>
      </c>
      <c r="E26" s="2" t="s">
        <v>39</v>
      </c>
      <c r="F26" s="2">
        <v>-1.3</v>
      </c>
      <c r="H26" s="5">
        <v>78</v>
      </c>
      <c r="I26" s="5">
        <v>25</v>
      </c>
      <c r="J26" s="5">
        <v>16</v>
      </c>
      <c r="K26" s="5">
        <v>3.59</v>
      </c>
      <c r="L26" s="5">
        <v>1.26</v>
      </c>
    </row>
    <row r="27" spans="1:12">
      <c r="A27" s="2" t="s">
        <v>176</v>
      </c>
      <c r="B27" s="7" t="s">
        <v>124</v>
      </c>
      <c r="C27" s="7">
        <v>2019</v>
      </c>
      <c r="D27" s="2" t="s">
        <v>45</v>
      </c>
      <c r="E27" s="2" t="s">
        <v>39</v>
      </c>
      <c r="F27" s="2">
        <v>0.6</v>
      </c>
      <c r="H27" s="5">
        <v>78</v>
      </c>
      <c r="I27" s="5">
        <v>7</v>
      </c>
      <c r="J27" s="5">
        <v>19</v>
      </c>
      <c r="K27" s="5">
        <v>5.94</v>
      </c>
      <c r="L27" s="5">
        <v>1.67</v>
      </c>
    </row>
    <row r="28" spans="1:12">
      <c r="A28" s="2" t="s">
        <v>177</v>
      </c>
      <c r="B28" s="7" t="s">
        <v>60</v>
      </c>
      <c r="C28" s="7">
        <v>2019</v>
      </c>
      <c r="D28" s="2" t="s">
        <v>45</v>
      </c>
      <c r="E28" s="2" t="s">
        <v>39</v>
      </c>
      <c r="F28" s="2">
        <v>8.1999999999999993</v>
      </c>
      <c r="H28" s="5">
        <v>30</v>
      </c>
      <c r="I28" s="5">
        <v>7</v>
      </c>
      <c r="J28" s="5">
        <v>4</v>
      </c>
      <c r="K28" s="5">
        <v>2.61</v>
      </c>
      <c r="L28" s="5">
        <v>1.07</v>
      </c>
    </row>
    <row r="29" spans="1:12">
      <c r="A29" s="2" t="s">
        <v>181</v>
      </c>
      <c r="B29" s="7" t="s">
        <v>105</v>
      </c>
      <c r="C29" s="7">
        <v>2019</v>
      </c>
      <c r="D29" s="2" t="s">
        <v>45</v>
      </c>
      <c r="E29" s="2" t="s">
        <v>39</v>
      </c>
      <c r="F29" s="2">
        <v>0</v>
      </c>
      <c r="H29" s="5">
        <v>33</v>
      </c>
      <c r="I29" s="5">
        <v>4</v>
      </c>
      <c r="J29" s="5">
        <v>11</v>
      </c>
      <c r="K29" s="5">
        <v>3.57</v>
      </c>
      <c r="L29" s="5">
        <v>1.06</v>
      </c>
    </row>
    <row r="30" spans="1:12">
      <c r="A30" s="2" t="s">
        <v>183</v>
      </c>
      <c r="B30" s="7" t="s">
        <v>89</v>
      </c>
      <c r="C30" s="7">
        <v>2019</v>
      </c>
      <c r="D30" s="2" t="s">
        <v>38</v>
      </c>
      <c r="E30" s="2" t="s">
        <v>39</v>
      </c>
      <c r="F30" s="2">
        <v>0.3</v>
      </c>
      <c r="H30" s="5">
        <v>88</v>
      </c>
      <c r="I30" s="5">
        <v>27</v>
      </c>
      <c r="J30" s="5">
        <v>15</v>
      </c>
      <c r="K30" s="5">
        <v>4.37</v>
      </c>
      <c r="L30" s="5">
        <v>1.44</v>
      </c>
    </row>
    <row r="31" spans="1:12">
      <c r="A31" s="2" t="s">
        <v>184</v>
      </c>
      <c r="B31" s="7" t="s">
        <v>51</v>
      </c>
      <c r="C31" s="7">
        <v>2019</v>
      </c>
      <c r="D31" s="2" t="s">
        <v>45</v>
      </c>
      <c r="E31" s="2" t="s">
        <v>39</v>
      </c>
      <c r="F31" s="2">
        <v>0</v>
      </c>
      <c r="H31" s="5">
        <v>117</v>
      </c>
      <c r="I31" s="5">
        <v>11</v>
      </c>
      <c r="J31" s="5">
        <v>22</v>
      </c>
      <c r="K31" s="5">
        <v>4.21</v>
      </c>
      <c r="L31" s="5">
        <v>1.46</v>
      </c>
    </row>
    <row r="32" spans="1:12">
      <c r="A32" s="2" t="s">
        <v>185</v>
      </c>
      <c r="B32" s="7" t="s">
        <v>78</v>
      </c>
      <c r="C32" s="7">
        <v>2019</v>
      </c>
      <c r="D32" s="2" t="s">
        <v>38</v>
      </c>
      <c r="E32" s="2" t="s">
        <v>39</v>
      </c>
      <c r="F32" s="2">
        <v>-0.3</v>
      </c>
      <c r="H32" s="5">
        <v>97</v>
      </c>
      <c r="I32" s="5">
        <v>13</v>
      </c>
      <c r="J32" s="5">
        <v>14</v>
      </c>
      <c r="K32" s="5">
        <v>3.16</v>
      </c>
      <c r="L32" s="5">
        <v>1.25</v>
      </c>
    </row>
    <row r="33" spans="1:18" ht="30">
      <c r="A33" s="2" t="s">
        <v>191</v>
      </c>
      <c r="B33" s="7" t="s">
        <v>89</v>
      </c>
      <c r="C33" s="7">
        <v>2019</v>
      </c>
      <c r="D33" s="2" t="s">
        <v>45</v>
      </c>
      <c r="E33" s="2" t="s">
        <v>39</v>
      </c>
      <c r="F33" s="2">
        <v>0</v>
      </c>
      <c r="H33" s="5">
        <v>29</v>
      </c>
      <c r="I33" s="5">
        <v>2</v>
      </c>
      <c r="J33" s="5">
        <v>4</v>
      </c>
      <c r="K33" s="5">
        <v>4.54</v>
      </c>
      <c r="L33" s="5">
        <v>1.6</v>
      </c>
    </row>
    <row r="34" spans="1:18">
      <c r="A34" s="2" t="s">
        <v>192</v>
      </c>
      <c r="B34" s="7" t="s">
        <v>89</v>
      </c>
      <c r="C34" s="7">
        <v>2019</v>
      </c>
      <c r="D34" s="2" t="s">
        <v>45</v>
      </c>
      <c r="E34" s="2" t="s">
        <v>39</v>
      </c>
      <c r="F34" s="2">
        <v>2</v>
      </c>
      <c r="H34" s="5">
        <v>60</v>
      </c>
      <c r="I34" s="5">
        <v>6</v>
      </c>
      <c r="J34" s="5">
        <v>9</v>
      </c>
      <c r="K34" s="5">
        <v>5.34</v>
      </c>
      <c r="L34" s="5">
        <v>1.4</v>
      </c>
    </row>
    <row r="35" spans="1:18">
      <c r="A35" s="2" t="s">
        <v>194</v>
      </c>
      <c r="B35" s="7" t="s">
        <v>101</v>
      </c>
      <c r="C35" s="7">
        <v>2019</v>
      </c>
      <c r="D35" s="2" t="s">
        <v>45</v>
      </c>
      <c r="E35" s="2" t="s">
        <v>39</v>
      </c>
      <c r="F35" s="2">
        <v>0</v>
      </c>
      <c r="H35" s="5">
        <v>77</v>
      </c>
      <c r="I35" s="5">
        <v>14</v>
      </c>
      <c r="J35" s="5">
        <v>4</v>
      </c>
      <c r="K35" s="5">
        <v>4.5199999999999996</v>
      </c>
      <c r="L35" s="5">
        <v>1.29</v>
      </c>
    </row>
    <row r="36" spans="1:18">
      <c r="A36" s="2" t="s">
        <v>196</v>
      </c>
      <c r="B36" s="7" t="s">
        <v>187</v>
      </c>
      <c r="C36" s="7">
        <v>2019</v>
      </c>
      <c r="D36" s="2" t="s">
        <v>38</v>
      </c>
      <c r="E36" s="2" t="s">
        <v>39</v>
      </c>
      <c r="F36" s="2">
        <v>0</v>
      </c>
      <c r="H36" s="5">
        <v>71</v>
      </c>
      <c r="I36" s="5">
        <v>8</v>
      </c>
      <c r="J36" s="5">
        <v>13</v>
      </c>
      <c r="K36" s="5">
        <v>4.92</v>
      </c>
      <c r="L36" s="5">
        <v>1.26</v>
      </c>
    </row>
    <row r="37" spans="1:18">
      <c r="A37" s="2" t="s">
        <v>199</v>
      </c>
      <c r="B37" s="7" t="s">
        <v>101</v>
      </c>
      <c r="C37" s="7">
        <v>2019</v>
      </c>
      <c r="D37" s="2" t="s">
        <v>45</v>
      </c>
      <c r="E37" s="2" t="s">
        <v>39</v>
      </c>
      <c r="F37" s="2">
        <v>0</v>
      </c>
      <c r="H37" s="5">
        <v>63</v>
      </c>
      <c r="I37" s="5">
        <v>7</v>
      </c>
      <c r="J37" s="5">
        <v>16</v>
      </c>
      <c r="K37" s="5">
        <v>2.91</v>
      </c>
      <c r="L37" s="5">
        <v>1.29</v>
      </c>
    </row>
    <row r="48" spans="1:18" ht="22">
      <c r="A48" s="121" t="s">
        <v>287</v>
      </c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55"/>
      <c r="N48" s="55"/>
      <c r="O48" s="55"/>
      <c r="P48" s="55"/>
      <c r="Q48" s="55"/>
      <c r="R48" s="55"/>
    </row>
    <row r="49" spans="1:12" ht="45">
      <c r="A49" s="1" t="s">
        <v>8</v>
      </c>
      <c r="B49" s="1" t="s">
        <v>5</v>
      </c>
      <c r="C49" s="1" t="s">
        <v>203</v>
      </c>
      <c r="D49" s="1" t="s">
        <v>9</v>
      </c>
      <c r="E49" s="1" t="s">
        <v>10</v>
      </c>
      <c r="F49" s="1" t="s">
        <v>11</v>
      </c>
      <c r="G49" s="26" t="s">
        <v>289</v>
      </c>
      <c r="H49" s="10" t="s">
        <v>17</v>
      </c>
      <c r="I49" s="10" t="s">
        <v>18</v>
      </c>
      <c r="J49" s="10" t="s">
        <v>19</v>
      </c>
      <c r="K49" s="10" t="s">
        <v>20</v>
      </c>
      <c r="L49" s="10" t="s">
        <v>21</v>
      </c>
    </row>
    <row r="50" spans="1:12">
      <c r="A50" s="2" t="s">
        <v>52</v>
      </c>
      <c r="B50" s="7" t="s">
        <v>51</v>
      </c>
      <c r="C50" s="5">
        <v>2014</v>
      </c>
      <c r="D50" s="2" t="s">
        <v>53</v>
      </c>
      <c r="E50" s="2" t="s">
        <v>54</v>
      </c>
      <c r="F50" s="2">
        <v>13.7</v>
      </c>
      <c r="H50" s="2">
        <v>158</v>
      </c>
      <c r="I50" s="2">
        <v>554</v>
      </c>
      <c r="J50" s="2">
        <v>38</v>
      </c>
      <c r="K50" s="11">
        <v>0.33666666666666667</v>
      </c>
      <c r="L50" s="11">
        <v>1.0916666666666668</v>
      </c>
    </row>
    <row r="51" spans="1:12">
      <c r="A51" s="2" t="s">
        <v>57</v>
      </c>
      <c r="B51" s="7" t="s">
        <v>56</v>
      </c>
      <c r="C51" s="5">
        <v>2014</v>
      </c>
      <c r="D51" s="2" t="s">
        <v>58</v>
      </c>
      <c r="E51" s="2" t="s">
        <v>54</v>
      </c>
      <c r="F51" s="2">
        <v>0.4</v>
      </c>
      <c r="H51" s="2">
        <v>650</v>
      </c>
      <c r="I51" s="2">
        <v>2623</v>
      </c>
      <c r="J51" s="2">
        <v>28</v>
      </c>
      <c r="K51" s="11">
        <v>0.27500000000000002</v>
      </c>
      <c r="L51" s="11">
        <v>0.71399999999999997</v>
      </c>
    </row>
    <row r="52" spans="1:12">
      <c r="A52" s="2" t="s">
        <v>61</v>
      </c>
      <c r="B52" s="7" t="s">
        <v>60</v>
      </c>
      <c r="C52" s="5">
        <v>2014</v>
      </c>
      <c r="D52" s="2" t="s">
        <v>62</v>
      </c>
      <c r="E52" s="2" t="s">
        <v>54</v>
      </c>
      <c r="F52" s="2">
        <v>-1.7</v>
      </c>
      <c r="H52" s="2">
        <v>615</v>
      </c>
      <c r="I52" s="2">
        <v>2217</v>
      </c>
      <c r="J52" s="2">
        <v>112</v>
      </c>
      <c r="K52" s="11">
        <v>0.24299999999999999</v>
      </c>
      <c r="L52" s="11">
        <v>0.78600000000000003</v>
      </c>
    </row>
    <row r="53" spans="1:12" ht="30">
      <c r="A53" s="2" t="s">
        <v>74</v>
      </c>
      <c r="B53" s="7" t="s">
        <v>73</v>
      </c>
      <c r="C53" s="5">
        <v>2014</v>
      </c>
      <c r="D53" s="2" t="s">
        <v>62</v>
      </c>
      <c r="E53" s="2" t="s">
        <v>54</v>
      </c>
      <c r="F53" s="2">
        <v>16.600000000000001</v>
      </c>
      <c r="H53" s="2">
        <v>172</v>
      </c>
      <c r="I53" s="2">
        <v>668</v>
      </c>
      <c r="J53" s="2">
        <v>24</v>
      </c>
      <c r="K53" s="11">
        <v>0.32900000000000001</v>
      </c>
      <c r="L53" s="11">
        <v>0.91900000000000004</v>
      </c>
    </row>
    <row r="54" spans="1:12">
      <c r="A54" s="2" t="s">
        <v>76</v>
      </c>
      <c r="B54" s="7" t="s">
        <v>70</v>
      </c>
      <c r="C54" s="5">
        <v>2014</v>
      </c>
      <c r="D54" s="2" t="s">
        <v>53</v>
      </c>
      <c r="E54" s="2" t="s">
        <v>54</v>
      </c>
      <c r="F54" s="5">
        <v>0</v>
      </c>
      <c r="H54" s="5">
        <v>260</v>
      </c>
      <c r="I54" s="5">
        <v>1025</v>
      </c>
      <c r="J54" s="5">
        <v>29</v>
      </c>
      <c r="K54" s="12">
        <v>0.28000000000000003</v>
      </c>
      <c r="L54" s="12">
        <v>0.75800000000000001</v>
      </c>
    </row>
    <row r="55" spans="1:12">
      <c r="A55" s="2" t="s">
        <v>82</v>
      </c>
      <c r="B55" s="7" t="s">
        <v>81</v>
      </c>
      <c r="C55" s="5">
        <v>2014</v>
      </c>
      <c r="D55" s="2" t="s">
        <v>58</v>
      </c>
      <c r="E55" s="2" t="s">
        <v>54</v>
      </c>
      <c r="F55" s="2">
        <v>35.4</v>
      </c>
      <c r="H55" s="2">
        <v>277</v>
      </c>
      <c r="I55" s="2">
        <v>1093</v>
      </c>
      <c r="J55" s="2">
        <v>19</v>
      </c>
      <c r="K55" s="11">
        <v>0.31</v>
      </c>
      <c r="L55" s="11">
        <v>0.82499999999999996</v>
      </c>
    </row>
    <row r="56" spans="1:12">
      <c r="A56" s="2" t="s">
        <v>102</v>
      </c>
      <c r="B56" s="7" t="s">
        <v>101</v>
      </c>
      <c r="C56" s="5">
        <v>2014</v>
      </c>
      <c r="D56" s="2" t="s">
        <v>103</v>
      </c>
      <c r="E56" s="2" t="s">
        <v>54</v>
      </c>
      <c r="F56" s="2">
        <v>0</v>
      </c>
      <c r="H56" s="2">
        <v>478</v>
      </c>
      <c r="I56" s="2">
        <v>1729</v>
      </c>
      <c r="J56" s="2">
        <v>60</v>
      </c>
      <c r="K56" s="11">
        <v>0.25</v>
      </c>
      <c r="L56" s="11">
        <v>0.755</v>
      </c>
    </row>
    <row r="57" spans="1:12" ht="30">
      <c r="A57" s="2" t="s">
        <v>106</v>
      </c>
      <c r="B57" s="7" t="s">
        <v>105</v>
      </c>
      <c r="C57" s="5">
        <v>2014</v>
      </c>
      <c r="D57" s="2" t="s">
        <v>62</v>
      </c>
      <c r="E57" s="2" t="s">
        <v>54</v>
      </c>
      <c r="F57" s="2">
        <v>2.9</v>
      </c>
      <c r="H57" s="2">
        <v>461</v>
      </c>
      <c r="I57" s="2">
        <v>1651</v>
      </c>
      <c r="J57" s="2">
        <v>55</v>
      </c>
      <c r="K57" s="11">
        <v>0.26100000000000001</v>
      </c>
      <c r="L57" s="11">
        <v>0.80100000000000005</v>
      </c>
    </row>
    <row r="58" spans="1:12">
      <c r="A58" s="2" t="s">
        <v>112</v>
      </c>
      <c r="B58" s="7" t="s">
        <v>111</v>
      </c>
      <c r="C58" s="5">
        <v>2014</v>
      </c>
      <c r="D58" s="2" t="s">
        <v>62</v>
      </c>
      <c r="E58" s="2" t="s">
        <v>54</v>
      </c>
      <c r="F58" s="2">
        <v>-0.3</v>
      </c>
      <c r="H58" s="2">
        <v>712</v>
      </c>
      <c r="I58" s="2">
        <v>2674</v>
      </c>
      <c r="J58" s="2">
        <v>53</v>
      </c>
      <c r="K58" s="11">
        <v>0.26100000000000001</v>
      </c>
      <c r="L58" s="11">
        <v>0.72399999999999998</v>
      </c>
    </row>
    <row r="59" spans="1:12">
      <c r="A59" s="2" t="s">
        <v>115</v>
      </c>
      <c r="B59" s="7" t="s">
        <v>114</v>
      </c>
      <c r="C59" s="5">
        <v>2014</v>
      </c>
      <c r="D59" s="2" t="s">
        <v>58</v>
      </c>
      <c r="E59" s="2" t="s">
        <v>54</v>
      </c>
      <c r="F59" s="2">
        <v>-2.6</v>
      </c>
      <c r="H59" s="2">
        <v>715</v>
      </c>
      <c r="I59" s="2">
        <v>2777</v>
      </c>
      <c r="J59" s="2">
        <v>40</v>
      </c>
      <c r="K59" s="11">
        <v>0.26100000000000001</v>
      </c>
      <c r="L59" s="11">
        <v>0.71599999999999997</v>
      </c>
    </row>
    <row r="60" spans="1:12">
      <c r="A60" s="2" t="s">
        <v>118</v>
      </c>
      <c r="B60" s="7" t="s">
        <v>117</v>
      </c>
      <c r="C60" s="5">
        <v>2014</v>
      </c>
      <c r="D60" s="2" t="s">
        <v>119</v>
      </c>
      <c r="E60" s="2" t="s">
        <v>54</v>
      </c>
      <c r="F60" s="2">
        <v>34.5</v>
      </c>
      <c r="H60" s="2">
        <v>321</v>
      </c>
      <c r="I60" s="2">
        <v>1211</v>
      </c>
      <c r="J60" s="2">
        <v>80</v>
      </c>
      <c r="K60" s="11">
        <v>0.24399999999999999</v>
      </c>
      <c r="L60" s="11">
        <v>0.84399999999999997</v>
      </c>
    </row>
    <row r="61" spans="1:12">
      <c r="A61" s="2" t="s">
        <v>122</v>
      </c>
      <c r="B61" s="7" t="s">
        <v>121</v>
      </c>
      <c r="C61" s="5">
        <v>2014</v>
      </c>
      <c r="D61" s="2" t="s">
        <v>58</v>
      </c>
      <c r="E61" s="2" t="s">
        <v>54</v>
      </c>
      <c r="F61" s="2">
        <v>0.2</v>
      </c>
      <c r="H61" s="2">
        <v>543</v>
      </c>
      <c r="I61" s="2">
        <v>2056</v>
      </c>
      <c r="J61" s="2">
        <v>97</v>
      </c>
      <c r="K61" s="11">
        <v>0.26100000000000001</v>
      </c>
      <c r="L61" s="11">
        <v>0.80400000000000005</v>
      </c>
    </row>
    <row r="62" spans="1:12">
      <c r="A62" s="2" t="s">
        <v>129</v>
      </c>
      <c r="B62" s="7" t="s">
        <v>98</v>
      </c>
      <c r="C62" s="5">
        <v>2014</v>
      </c>
      <c r="D62" s="2" t="s">
        <v>58</v>
      </c>
      <c r="E62" s="2" t="s">
        <v>54</v>
      </c>
      <c r="F62" s="2">
        <v>-0.2</v>
      </c>
      <c r="H62" s="2">
        <v>573</v>
      </c>
      <c r="I62" s="2">
        <v>1978</v>
      </c>
      <c r="J62" s="2">
        <v>47</v>
      </c>
      <c r="K62" s="11">
        <v>0.247</v>
      </c>
      <c r="L62" s="11">
        <v>0.753</v>
      </c>
    </row>
    <row r="63" spans="1:12">
      <c r="A63" s="2" t="s">
        <v>150</v>
      </c>
      <c r="B63" s="46" t="s">
        <v>114</v>
      </c>
      <c r="C63" s="5">
        <v>2014</v>
      </c>
      <c r="D63" s="2" t="s">
        <v>62</v>
      </c>
      <c r="E63" s="2" t="s">
        <v>54</v>
      </c>
      <c r="F63" s="2">
        <v>3.8</v>
      </c>
      <c r="H63" s="2">
        <v>521</v>
      </c>
      <c r="I63" s="2">
        <v>1802</v>
      </c>
      <c r="J63" s="2">
        <v>52</v>
      </c>
      <c r="K63" s="11">
        <v>0.27400000000000002</v>
      </c>
      <c r="L63" s="11">
        <v>0.81299999999999994</v>
      </c>
    </row>
    <row r="64" spans="1:12">
      <c r="A64" s="2" t="s">
        <v>143</v>
      </c>
      <c r="B64" s="7" t="s">
        <v>67</v>
      </c>
      <c r="C64" s="5">
        <v>2014</v>
      </c>
      <c r="D64" s="2" t="s">
        <v>144</v>
      </c>
      <c r="E64" s="2" t="s">
        <v>54</v>
      </c>
      <c r="F64" s="2">
        <v>0.3</v>
      </c>
      <c r="H64" s="2">
        <v>874</v>
      </c>
      <c r="I64" s="2">
        <v>3290</v>
      </c>
      <c r="J64" s="2">
        <v>60</v>
      </c>
      <c r="K64" s="11">
        <v>0.27200000000000002</v>
      </c>
      <c r="L64" s="11">
        <v>0.755</v>
      </c>
    </row>
    <row r="65" spans="1:12">
      <c r="A65" s="2" t="s">
        <v>146</v>
      </c>
      <c r="B65" s="7" t="s">
        <v>42</v>
      </c>
      <c r="C65" s="5">
        <v>2014</v>
      </c>
      <c r="D65" s="2" t="s">
        <v>53</v>
      </c>
      <c r="E65" s="2" t="s">
        <v>54</v>
      </c>
      <c r="F65" s="2">
        <v>0</v>
      </c>
      <c r="H65" s="2">
        <v>67</v>
      </c>
      <c r="I65" s="2">
        <v>196</v>
      </c>
      <c r="J65" s="2">
        <v>2</v>
      </c>
      <c r="K65" s="11">
        <v>0.17399999999999999</v>
      </c>
      <c r="L65" s="11">
        <v>0.51900000000000002</v>
      </c>
    </row>
    <row r="66" spans="1:12">
      <c r="A66" s="2" t="s">
        <v>148</v>
      </c>
      <c r="B66" s="7" t="s">
        <v>35</v>
      </c>
      <c r="C66" s="5">
        <v>2014</v>
      </c>
      <c r="D66" s="2" t="s">
        <v>62</v>
      </c>
      <c r="E66" s="2" t="s">
        <v>54</v>
      </c>
      <c r="F66" s="2">
        <v>0.2</v>
      </c>
      <c r="H66" s="2">
        <v>557</v>
      </c>
      <c r="I66" s="2">
        <v>2107</v>
      </c>
      <c r="J66" s="2">
        <v>94</v>
      </c>
      <c r="K66" s="11">
        <v>0.27100000000000002</v>
      </c>
      <c r="L66" s="11">
        <v>0.83699999999999997</v>
      </c>
    </row>
    <row r="67" spans="1:12">
      <c r="A67" s="2" t="s">
        <v>149</v>
      </c>
      <c r="B67" s="7" t="s">
        <v>105</v>
      </c>
      <c r="C67" s="5">
        <v>2014</v>
      </c>
      <c r="D67" s="2" t="s">
        <v>62</v>
      </c>
      <c r="E67" s="2" t="s">
        <v>54</v>
      </c>
      <c r="F67" s="2">
        <v>0</v>
      </c>
      <c r="H67" s="2">
        <v>520</v>
      </c>
      <c r="I67" s="2">
        <v>1706</v>
      </c>
      <c r="J67" s="2">
        <v>41</v>
      </c>
      <c r="K67" s="11">
        <v>0.23499999999999999</v>
      </c>
      <c r="L67" s="11">
        <v>0.72699999999999998</v>
      </c>
    </row>
    <row r="68" spans="1:12" ht="30">
      <c r="A68" s="2" t="s">
        <v>137</v>
      </c>
      <c r="B68" s="46" t="s">
        <v>136</v>
      </c>
      <c r="C68" s="5">
        <v>2014</v>
      </c>
      <c r="D68" s="2" t="s">
        <v>62</v>
      </c>
      <c r="E68" s="2" t="s">
        <v>54</v>
      </c>
      <c r="F68" s="2">
        <v>0</v>
      </c>
      <c r="H68" s="2">
        <v>534</v>
      </c>
      <c r="I68" s="2">
        <v>1754</v>
      </c>
      <c r="J68" s="2">
        <v>47</v>
      </c>
      <c r="K68" s="11">
        <v>0.21299999999999999</v>
      </c>
      <c r="L68" s="11">
        <v>0.69</v>
      </c>
    </row>
    <row r="69" spans="1:12">
      <c r="A69" s="2" t="s">
        <v>152</v>
      </c>
      <c r="B69" s="7" t="s">
        <v>92</v>
      </c>
      <c r="C69" s="5">
        <v>2014</v>
      </c>
      <c r="D69" s="2" t="s">
        <v>53</v>
      </c>
      <c r="E69" s="2" t="s">
        <v>54</v>
      </c>
      <c r="F69" s="2">
        <v>0</v>
      </c>
      <c r="H69" s="2">
        <v>471</v>
      </c>
      <c r="I69" s="2">
        <v>1590</v>
      </c>
      <c r="J69" s="2">
        <v>73</v>
      </c>
      <c r="K69" s="11">
        <v>0.214</v>
      </c>
      <c r="L69" s="11">
        <v>0.76</v>
      </c>
    </row>
    <row r="70" spans="1:12">
      <c r="A70" s="2" t="s">
        <v>154</v>
      </c>
      <c r="B70" s="7" t="s">
        <v>78</v>
      </c>
      <c r="C70" s="5">
        <v>2014</v>
      </c>
      <c r="D70" s="2" t="s">
        <v>58</v>
      </c>
      <c r="E70" s="2" t="s">
        <v>54</v>
      </c>
      <c r="F70" s="2">
        <v>0</v>
      </c>
      <c r="H70" s="2">
        <v>831</v>
      </c>
      <c r="I70" s="2">
        <v>3150</v>
      </c>
      <c r="J70" s="2">
        <v>124</v>
      </c>
      <c r="K70" s="11">
        <v>0.23100000000000001</v>
      </c>
      <c r="L70" s="11">
        <v>0.69699999999999995</v>
      </c>
    </row>
    <row r="71" spans="1:12" ht="30">
      <c r="A71" s="2" t="s">
        <v>157</v>
      </c>
      <c r="B71" s="2" t="s">
        <v>156</v>
      </c>
      <c r="C71" s="37">
        <v>2019</v>
      </c>
      <c r="D71" s="2" t="s">
        <v>53</v>
      </c>
      <c r="E71" s="2" t="s">
        <v>54</v>
      </c>
      <c r="F71" s="2">
        <v>12.5</v>
      </c>
      <c r="H71" s="2">
        <v>180</v>
      </c>
      <c r="I71" s="2">
        <v>651</v>
      </c>
      <c r="J71" s="2">
        <v>30</v>
      </c>
      <c r="K71" s="2">
        <v>0.28100000000000003</v>
      </c>
      <c r="L71" s="2">
        <v>0.877</v>
      </c>
    </row>
    <row r="72" spans="1:12">
      <c r="A72" s="2" t="s">
        <v>158</v>
      </c>
      <c r="B72" s="2" t="s">
        <v>92</v>
      </c>
      <c r="C72" s="37">
        <v>2019</v>
      </c>
      <c r="D72" s="2" t="s">
        <v>58</v>
      </c>
      <c r="E72" s="2" t="s">
        <v>54</v>
      </c>
      <c r="F72" s="2">
        <v>12.4</v>
      </c>
      <c r="H72" s="34">
        <v>160</v>
      </c>
      <c r="I72" s="2">
        <v>661</v>
      </c>
      <c r="J72" s="34">
        <v>34</v>
      </c>
      <c r="K72" s="34">
        <v>0.28299999999999997</v>
      </c>
      <c r="L72" s="35">
        <v>0.87</v>
      </c>
    </row>
    <row r="73" spans="1:12">
      <c r="A73" s="2" t="s">
        <v>159</v>
      </c>
      <c r="B73" s="2" t="s">
        <v>47</v>
      </c>
      <c r="C73" s="37">
        <v>2019</v>
      </c>
      <c r="D73" s="2" t="s">
        <v>103</v>
      </c>
      <c r="E73" s="2" t="s">
        <v>54</v>
      </c>
      <c r="F73" s="2">
        <v>0.6</v>
      </c>
      <c r="H73" s="2">
        <v>57</v>
      </c>
      <c r="I73" s="34">
        <v>212</v>
      </c>
      <c r="J73" s="34">
        <v>8</v>
      </c>
      <c r="K73" s="34">
        <v>0.27800000000000002</v>
      </c>
      <c r="L73" s="34">
        <v>0.85799999999999998</v>
      </c>
    </row>
    <row r="74" spans="1:12">
      <c r="A74" s="2" t="s">
        <v>160</v>
      </c>
      <c r="B74" s="2" t="s">
        <v>42</v>
      </c>
      <c r="C74" s="37">
        <v>2019</v>
      </c>
      <c r="D74" s="2" t="s">
        <v>62</v>
      </c>
      <c r="E74" s="2" t="s">
        <v>54</v>
      </c>
      <c r="F74" s="2">
        <v>1.6</v>
      </c>
      <c r="H74" s="24">
        <v>261</v>
      </c>
      <c r="I74" s="34">
        <v>947</v>
      </c>
      <c r="J74" s="34">
        <v>43</v>
      </c>
      <c r="K74" s="34">
        <v>0.23799999999999999</v>
      </c>
      <c r="L74" s="34">
        <v>0.78700000000000003</v>
      </c>
    </row>
    <row r="75" spans="1:12">
      <c r="A75" s="2" t="s">
        <v>161</v>
      </c>
      <c r="B75" s="2" t="s">
        <v>111</v>
      </c>
      <c r="C75" s="37">
        <v>2019</v>
      </c>
      <c r="D75" s="2" t="s">
        <v>62</v>
      </c>
      <c r="E75" s="2" t="s">
        <v>54</v>
      </c>
      <c r="F75" s="2">
        <v>7</v>
      </c>
      <c r="H75" s="24">
        <v>201</v>
      </c>
      <c r="I75" s="34">
        <v>786</v>
      </c>
      <c r="J75" s="34">
        <v>31</v>
      </c>
      <c r="K75" s="34">
        <v>0.29399999999999998</v>
      </c>
      <c r="L75" s="34">
        <v>0.86299999999999999</v>
      </c>
    </row>
    <row r="76" spans="1:12">
      <c r="A76" s="2" t="s">
        <v>162</v>
      </c>
      <c r="B76" s="2" t="s">
        <v>81</v>
      </c>
      <c r="C76" s="37">
        <v>2019</v>
      </c>
      <c r="D76" s="2" t="s">
        <v>58</v>
      </c>
      <c r="E76" s="2" t="s">
        <v>54</v>
      </c>
      <c r="F76" s="2">
        <v>7</v>
      </c>
      <c r="H76" s="24">
        <v>114</v>
      </c>
      <c r="I76" s="34">
        <v>483</v>
      </c>
      <c r="J76" s="34">
        <v>12</v>
      </c>
      <c r="K76" s="34">
        <v>0.33100000000000002</v>
      </c>
      <c r="L76" s="34">
        <v>0.89600000000000002</v>
      </c>
    </row>
    <row r="77" spans="1:12">
      <c r="A77" s="2" t="s">
        <v>164</v>
      </c>
      <c r="B77" s="2" t="s">
        <v>131</v>
      </c>
      <c r="C77" s="37">
        <v>2019</v>
      </c>
      <c r="D77" s="2" t="s">
        <v>119</v>
      </c>
      <c r="E77" s="2" t="s">
        <v>54</v>
      </c>
      <c r="F77" s="2">
        <v>3</v>
      </c>
      <c r="H77" s="24">
        <v>160</v>
      </c>
      <c r="I77" s="34">
        <v>629</v>
      </c>
      <c r="J77" s="34">
        <v>30</v>
      </c>
      <c r="K77" s="35">
        <v>0.31</v>
      </c>
      <c r="L77" s="34">
        <v>0.90800000000000003</v>
      </c>
    </row>
    <row r="78" spans="1:12" ht="30">
      <c r="A78" s="2" t="s">
        <v>165</v>
      </c>
      <c r="B78" s="2" t="s">
        <v>136</v>
      </c>
      <c r="C78" s="37">
        <v>2019</v>
      </c>
      <c r="D78" s="2" t="s">
        <v>53</v>
      </c>
      <c r="E78" s="2" t="s">
        <v>54</v>
      </c>
      <c r="F78" s="2">
        <v>3.3</v>
      </c>
      <c r="H78" s="24">
        <v>243</v>
      </c>
      <c r="I78" s="34">
        <v>909</v>
      </c>
      <c r="J78" s="34">
        <v>43</v>
      </c>
      <c r="K78" s="35">
        <v>0.26600000000000001</v>
      </c>
      <c r="L78" s="34">
        <v>0.80600000000000005</v>
      </c>
    </row>
    <row r="79" spans="1:12">
      <c r="A79" s="2" t="s">
        <v>166</v>
      </c>
      <c r="B79" s="2" t="s">
        <v>83</v>
      </c>
      <c r="C79" s="37">
        <v>2019</v>
      </c>
      <c r="D79" s="2" t="s">
        <v>62</v>
      </c>
      <c r="E79" s="2" t="s">
        <v>54</v>
      </c>
      <c r="F79" s="2">
        <v>0</v>
      </c>
      <c r="H79" s="24">
        <v>217</v>
      </c>
      <c r="I79" s="34">
        <v>776</v>
      </c>
      <c r="J79" s="34">
        <v>26</v>
      </c>
      <c r="K79" s="35">
        <v>0.22700000000000001</v>
      </c>
      <c r="L79" s="34">
        <v>0.71899999999999997</v>
      </c>
    </row>
    <row r="80" spans="1:12">
      <c r="A80" s="2" t="s">
        <v>168</v>
      </c>
      <c r="B80" s="2" t="s">
        <v>73</v>
      </c>
      <c r="C80" s="37">
        <v>2019</v>
      </c>
      <c r="D80" s="2" t="s">
        <v>119</v>
      </c>
      <c r="E80" s="2" t="s">
        <v>54</v>
      </c>
      <c r="F80" s="2">
        <v>-0.7</v>
      </c>
      <c r="H80" s="24">
        <v>309</v>
      </c>
      <c r="I80" s="34">
        <v>1159</v>
      </c>
      <c r="J80" s="34">
        <v>59</v>
      </c>
      <c r="K80" s="35">
        <v>0.28599999999999998</v>
      </c>
      <c r="L80" s="34">
        <v>0.89100000000000001</v>
      </c>
    </row>
    <row r="81" spans="1:12">
      <c r="A81" s="2" t="s">
        <v>169</v>
      </c>
      <c r="B81" s="2" t="s">
        <v>56</v>
      </c>
      <c r="C81" s="37">
        <v>2019</v>
      </c>
      <c r="D81" s="2" t="s">
        <v>58</v>
      </c>
      <c r="E81" s="2" t="s">
        <v>54</v>
      </c>
      <c r="F81" s="2">
        <v>0</v>
      </c>
      <c r="H81" s="24">
        <v>284</v>
      </c>
      <c r="I81" s="34">
        <v>1021</v>
      </c>
      <c r="J81" s="34">
        <v>23</v>
      </c>
      <c r="K81" s="35">
        <v>0.21199999999999999</v>
      </c>
      <c r="L81" s="34">
        <v>0.60199999999999998</v>
      </c>
    </row>
    <row r="82" spans="1:12">
      <c r="A82" s="2" t="s">
        <v>170</v>
      </c>
      <c r="B82" s="2" t="s">
        <v>64</v>
      </c>
      <c r="C82" s="37">
        <v>2019</v>
      </c>
      <c r="D82" s="2" t="s">
        <v>58</v>
      </c>
      <c r="E82" s="2" t="s">
        <v>54</v>
      </c>
      <c r="F82" s="2">
        <v>7.8</v>
      </c>
      <c r="H82" s="24">
        <v>169</v>
      </c>
      <c r="I82" s="34">
        <v>620</v>
      </c>
      <c r="J82" s="34">
        <v>24</v>
      </c>
      <c r="K82" s="35">
        <v>0.3</v>
      </c>
      <c r="L82" s="34">
        <v>0.88400000000000001</v>
      </c>
    </row>
    <row r="83" spans="1:12">
      <c r="A83" s="2" t="s">
        <v>171</v>
      </c>
      <c r="B83" s="2" t="s">
        <v>86</v>
      </c>
      <c r="C83" s="37">
        <v>2019</v>
      </c>
      <c r="D83" s="2" t="s">
        <v>58</v>
      </c>
      <c r="E83" s="2" t="s">
        <v>54</v>
      </c>
      <c r="F83" s="2">
        <v>0</v>
      </c>
      <c r="H83" s="24">
        <v>432</v>
      </c>
      <c r="I83" s="34">
        <v>1599</v>
      </c>
      <c r="J83" s="34">
        <v>56</v>
      </c>
      <c r="K83" s="35">
        <v>0.23300000000000001</v>
      </c>
      <c r="L83" s="34">
        <v>0.70399999999999996</v>
      </c>
    </row>
    <row r="84" spans="1:12">
      <c r="A84" s="2" t="s">
        <v>172</v>
      </c>
      <c r="B84" s="2" t="s">
        <v>89</v>
      </c>
      <c r="C84" s="37">
        <v>2019</v>
      </c>
      <c r="D84" s="2" t="s">
        <v>62</v>
      </c>
      <c r="E84" s="2" t="s">
        <v>54</v>
      </c>
      <c r="F84" s="2">
        <v>7.2</v>
      </c>
      <c r="H84" s="24">
        <v>142</v>
      </c>
      <c r="I84" s="34">
        <v>539</v>
      </c>
      <c r="J84" s="34">
        <v>28</v>
      </c>
      <c r="K84" s="35">
        <v>0.31</v>
      </c>
      <c r="L84" s="34">
        <v>1.014</v>
      </c>
    </row>
    <row r="85" spans="1:12" ht="30">
      <c r="A85" s="2" t="s">
        <v>178</v>
      </c>
      <c r="B85" s="2" t="s">
        <v>136</v>
      </c>
      <c r="C85" s="37">
        <v>2019</v>
      </c>
      <c r="D85" s="2" t="s">
        <v>58</v>
      </c>
      <c r="E85" s="2" t="s">
        <v>54</v>
      </c>
      <c r="F85" s="2">
        <v>-0.7</v>
      </c>
      <c r="H85" s="24">
        <v>356</v>
      </c>
      <c r="I85" s="34">
        <v>1356</v>
      </c>
      <c r="J85" s="34">
        <v>38</v>
      </c>
      <c r="K85" s="35">
        <v>0.248</v>
      </c>
      <c r="L85" s="34">
        <v>0.70799999999999996</v>
      </c>
    </row>
    <row r="86" spans="1:12">
      <c r="A86" s="2" t="s">
        <v>179</v>
      </c>
      <c r="B86" s="2" t="s">
        <v>101</v>
      </c>
      <c r="C86" s="37">
        <v>2019</v>
      </c>
      <c r="D86" s="2" t="s">
        <v>58</v>
      </c>
      <c r="E86" s="2" t="s">
        <v>54</v>
      </c>
      <c r="F86" s="2">
        <v>0.1</v>
      </c>
      <c r="H86" s="24">
        <v>321</v>
      </c>
      <c r="I86" s="34">
        <v>1241</v>
      </c>
      <c r="J86" s="34">
        <v>40</v>
      </c>
      <c r="K86" s="35">
        <v>0.26400000000000001</v>
      </c>
      <c r="L86" s="34">
        <v>0.78700000000000003</v>
      </c>
    </row>
    <row r="87" spans="1:12">
      <c r="A87" s="2" t="s">
        <v>180</v>
      </c>
      <c r="B87" s="2" t="s">
        <v>67</v>
      </c>
      <c r="C87" s="37">
        <v>2019</v>
      </c>
      <c r="D87" s="2" t="s">
        <v>103</v>
      </c>
      <c r="E87" s="2" t="s">
        <v>54</v>
      </c>
      <c r="F87" s="2">
        <v>-0.4</v>
      </c>
      <c r="H87" s="24">
        <v>378</v>
      </c>
      <c r="I87" s="34">
        <v>1426</v>
      </c>
      <c r="J87" s="34">
        <v>86</v>
      </c>
      <c r="K87" s="35">
        <v>0.247</v>
      </c>
      <c r="L87" s="34">
        <v>0.83399999999999996</v>
      </c>
    </row>
    <row r="88" spans="1:12">
      <c r="A88" s="2" t="s">
        <v>182</v>
      </c>
      <c r="B88" s="2" t="s">
        <v>108</v>
      </c>
      <c r="C88" s="37">
        <v>2019</v>
      </c>
      <c r="D88" s="2" t="s">
        <v>119</v>
      </c>
      <c r="E88" s="2" t="s">
        <v>54</v>
      </c>
      <c r="F88" s="2">
        <v>0</v>
      </c>
      <c r="H88" s="24">
        <v>377</v>
      </c>
      <c r="I88" s="34">
        <v>1385</v>
      </c>
      <c r="J88" s="34">
        <v>36</v>
      </c>
      <c r="K88" s="35">
        <v>0.248</v>
      </c>
      <c r="L88" s="34">
        <v>0.69</v>
      </c>
    </row>
    <row r="89" spans="1:12" ht="30">
      <c r="A89" s="2" t="s">
        <v>186</v>
      </c>
      <c r="B89" s="2" t="s">
        <v>117</v>
      </c>
      <c r="C89" s="37">
        <v>2019</v>
      </c>
      <c r="D89" s="2" t="s">
        <v>58</v>
      </c>
      <c r="E89" s="2" t="s">
        <v>54</v>
      </c>
      <c r="F89" s="2">
        <v>0</v>
      </c>
      <c r="H89" s="24">
        <v>450</v>
      </c>
      <c r="I89" s="34">
        <v>1661</v>
      </c>
      <c r="J89" s="34">
        <v>42</v>
      </c>
      <c r="K89" s="35">
        <v>0.249</v>
      </c>
      <c r="L89" s="34">
        <v>0.72</v>
      </c>
    </row>
    <row r="90" spans="1:12">
      <c r="A90" s="2" t="s">
        <v>188</v>
      </c>
      <c r="B90" s="2" t="s">
        <v>187</v>
      </c>
      <c r="C90" s="37">
        <v>2019</v>
      </c>
      <c r="D90" s="2" t="s">
        <v>58</v>
      </c>
      <c r="E90" s="2" t="s">
        <v>54</v>
      </c>
      <c r="F90" s="2">
        <v>6.1</v>
      </c>
      <c r="H90" s="24">
        <v>275</v>
      </c>
      <c r="I90" s="34">
        <v>1044</v>
      </c>
      <c r="J90" s="34">
        <v>50</v>
      </c>
      <c r="K90" s="35">
        <v>0.26200000000000001</v>
      </c>
      <c r="L90" s="34">
        <v>0.88100000000000001</v>
      </c>
    </row>
    <row r="91" spans="1:12">
      <c r="A91" s="2" t="s">
        <v>189</v>
      </c>
      <c r="B91" s="2" t="s">
        <v>108</v>
      </c>
      <c r="C91" s="37">
        <v>2019</v>
      </c>
      <c r="D91" s="2" t="s">
        <v>144</v>
      </c>
      <c r="E91" s="2" t="s">
        <v>54</v>
      </c>
      <c r="F91" s="2">
        <v>2.2000000000000002</v>
      </c>
      <c r="H91" s="2">
        <v>357</v>
      </c>
      <c r="I91" s="34">
        <v>1375</v>
      </c>
      <c r="J91" s="34">
        <v>79</v>
      </c>
      <c r="K91" s="35">
        <v>0.28299999999999997</v>
      </c>
      <c r="L91" s="34">
        <v>0.91900000000000004</v>
      </c>
    </row>
    <row r="92" spans="1:12">
      <c r="A92" s="2" t="s">
        <v>190</v>
      </c>
      <c r="B92" s="2" t="s">
        <v>35</v>
      </c>
      <c r="C92" s="37">
        <v>2019</v>
      </c>
      <c r="D92" s="2" t="s">
        <v>53</v>
      </c>
      <c r="E92" s="2" t="s">
        <v>54</v>
      </c>
      <c r="F92" s="2">
        <v>-1</v>
      </c>
      <c r="H92" s="2">
        <v>338</v>
      </c>
      <c r="I92" s="34">
        <v>1291</v>
      </c>
      <c r="J92" s="34">
        <v>44</v>
      </c>
      <c r="K92" s="35">
        <v>0.26300000000000001</v>
      </c>
      <c r="L92" s="34">
        <v>0.75600000000000001</v>
      </c>
    </row>
    <row r="93" spans="1:12" ht="30">
      <c r="A93" s="2" t="s">
        <v>193</v>
      </c>
      <c r="B93" s="2" t="s">
        <v>42</v>
      </c>
      <c r="C93" s="37">
        <v>2019</v>
      </c>
      <c r="D93" s="2" t="s">
        <v>62</v>
      </c>
      <c r="E93" s="2" t="s">
        <v>54</v>
      </c>
      <c r="F93" s="2">
        <v>0</v>
      </c>
      <c r="H93" s="2">
        <v>485</v>
      </c>
      <c r="I93" s="34">
        <v>1762</v>
      </c>
      <c r="J93" s="34">
        <v>66</v>
      </c>
      <c r="K93" s="35">
        <v>0.246</v>
      </c>
      <c r="L93" s="34">
        <v>0.80200000000000005</v>
      </c>
    </row>
    <row r="94" spans="1:12">
      <c r="A94" s="2" t="s">
        <v>195</v>
      </c>
      <c r="B94" s="2" t="s">
        <v>114</v>
      </c>
      <c r="C94" s="37">
        <v>2019</v>
      </c>
      <c r="D94" s="2" t="s">
        <v>62</v>
      </c>
      <c r="E94" s="2" t="s">
        <v>54</v>
      </c>
      <c r="F94" s="2">
        <v>0</v>
      </c>
      <c r="H94" s="2">
        <v>367</v>
      </c>
      <c r="I94" s="34">
        <v>1264</v>
      </c>
      <c r="J94" s="34">
        <v>32</v>
      </c>
      <c r="K94" s="35">
        <v>0.23100000000000001</v>
      </c>
      <c r="L94" s="34">
        <v>0.70599999999999996</v>
      </c>
    </row>
    <row r="95" spans="1:12">
      <c r="A95" s="2" t="s">
        <v>197</v>
      </c>
      <c r="B95" s="2" t="s">
        <v>56</v>
      </c>
      <c r="C95" s="37">
        <v>2019</v>
      </c>
      <c r="D95" s="2" t="s">
        <v>62</v>
      </c>
      <c r="E95" s="2" t="s">
        <v>54</v>
      </c>
      <c r="F95" s="2">
        <v>3</v>
      </c>
      <c r="H95" s="2">
        <v>395</v>
      </c>
      <c r="I95" s="34">
        <v>1487</v>
      </c>
      <c r="J95" s="34">
        <v>80</v>
      </c>
      <c r="K95" s="35">
        <v>0.27100000000000002</v>
      </c>
      <c r="L95" s="34">
        <v>0.89600000000000002</v>
      </c>
    </row>
    <row r="96" spans="1:12">
      <c r="A96" s="2" t="s">
        <v>200</v>
      </c>
      <c r="B96" s="2" t="s">
        <v>131</v>
      </c>
      <c r="C96" s="37">
        <v>2019</v>
      </c>
      <c r="D96" s="2" t="s">
        <v>119</v>
      </c>
      <c r="E96" s="2" t="s">
        <v>54</v>
      </c>
      <c r="F96" s="2">
        <v>0</v>
      </c>
      <c r="H96" s="2">
        <v>323</v>
      </c>
      <c r="I96" s="34">
        <v>1165</v>
      </c>
      <c r="J96" s="34">
        <v>62</v>
      </c>
      <c r="K96" s="35">
        <v>0.23400000000000001</v>
      </c>
      <c r="L96" s="34">
        <v>0.78100000000000003</v>
      </c>
    </row>
  </sheetData>
  <mergeCells count="2">
    <mergeCell ref="A1:L1"/>
    <mergeCell ref="A48:L4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4F391-7F76-A642-9B8C-2FE2ED259BA4}">
  <dimension ref="A1:H19"/>
  <sheetViews>
    <sheetView workbookViewId="0">
      <selection activeCell="C10" sqref="C10"/>
    </sheetView>
  </sheetViews>
  <sheetFormatPr baseColWidth="10" defaultColWidth="11" defaultRowHeight="16"/>
  <cols>
    <col min="1" max="1" width="33.6640625" customWidth="1"/>
    <col min="2" max="3" width="27.1640625" customWidth="1"/>
  </cols>
  <sheetData>
    <row r="1" spans="1:8" ht="22">
      <c r="A1" s="126" t="s">
        <v>290</v>
      </c>
      <c r="B1" s="126"/>
      <c r="C1" s="126"/>
      <c r="D1" s="56"/>
      <c r="E1" s="56"/>
      <c r="F1" s="56"/>
      <c r="G1" s="56"/>
      <c r="H1" s="56"/>
    </row>
    <row r="2" spans="1:8">
      <c r="A2" s="58" t="s">
        <v>291</v>
      </c>
      <c r="B2" s="59" t="s">
        <v>293</v>
      </c>
      <c r="C2" s="59" t="s">
        <v>292</v>
      </c>
    </row>
    <row r="3" spans="1:8" ht="27" customHeight="1">
      <c r="A3" s="60" t="s">
        <v>294</v>
      </c>
      <c r="B3" s="61">
        <f>COUNTA(_xlfn.UNIQUE('Cleaned Data'!A52:A98))</f>
        <v>47</v>
      </c>
      <c r="C3" s="61">
        <f>COUNTA(_xlfn.UNIQUE('Cleaned Data'!A3:A37))</f>
        <v>35</v>
      </c>
    </row>
    <row r="4" spans="1:8" ht="24" customHeight="1">
      <c r="A4" s="60" t="s">
        <v>295</v>
      </c>
      <c r="B4" s="64">
        <v>3.71</v>
      </c>
      <c r="C4" s="61">
        <v>3.32</v>
      </c>
    </row>
    <row r="5" spans="1:8">
      <c r="A5" s="60" t="s">
        <v>32</v>
      </c>
      <c r="B5" s="62" t="s">
        <v>297</v>
      </c>
      <c r="C5" s="61" t="s">
        <v>300</v>
      </c>
    </row>
    <row r="6" spans="1:8">
      <c r="A6" s="60" t="s">
        <v>298</v>
      </c>
      <c r="B6" s="63">
        <f>AVERAGE('Summary Tables'!E8:E13)</f>
        <v>0.23171363636363637</v>
      </c>
      <c r="C6" s="62">
        <f>AVERAGE('Summary Tables'!E3:E4)</f>
        <v>4.269490740740741</v>
      </c>
    </row>
    <row r="7" spans="1:8">
      <c r="A7" s="60" t="s">
        <v>222</v>
      </c>
      <c r="B7" s="65">
        <f>14/47</f>
        <v>0.2978723404255319</v>
      </c>
      <c r="C7" s="65">
        <v>0.2286</v>
      </c>
    </row>
    <row r="8" spans="1:8">
      <c r="A8" s="60" t="s">
        <v>296</v>
      </c>
      <c r="B8" s="61" t="s">
        <v>299</v>
      </c>
      <c r="C8" s="61" t="s">
        <v>38</v>
      </c>
    </row>
    <row r="19" spans="2:2">
      <c r="B19" s="57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BD36-4D11-D149-9CEB-961A56835975}">
  <dimension ref="A1:AL101"/>
  <sheetViews>
    <sheetView topLeftCell="S1" zoomScale="75" workbookViewId="0">
      <selection activeCell="V3" sqref="V3:W32"/>
    </sheetView>
  </sheetViews>
  <sheetFormatPr baseColWidth="10" defaultColWidth="11" defaultRowHeight="16"/>
  <cols>
    <col min="1" max="1" width="22.1640625" customWidth="1"/>
    <col min="2" max="2" width="22.83203125" customWidth="1"/>
    <col min="3" max="3" width="12.1640625" customWidth="1"/>
    <col min="4" max="4" width="23.6640625" customWidth="1"/>
    <col min="5" max="5" width="14.1640625" customWidth="1"/>
    <col min="7" max="7" width="35.6640625" customWidth="1"/>
    <col min="8" max="8" width="11.5" bestFit="1" customWidth="1"/>
    <col min="12" max="12" width="19" customWidth="1"/>
    <col min="13" max="13" width="20.33203125" customWidth="1"/>
    <col min="14" max="14" width="16.6640625" customWidth="1"/>
    <col min="18" max="18" width="17.6640625" customWidth="1"/>
    <col min="20" max="20" width="22.1640625" customWidth="1"/>
    <col min="21" max="21" width="41.83203125" customWidth="1"/>
    <col min="22" max="22" width="23.1640625" customWidth="1"/>
    <col min="23" max="23" width="49.5" customWidth="1"/>
    <col min="24" max="24" width="71.33203125" customWidth="1"/>
    <col min="25" max="25" width="23.83203125" customWidth="1"/>
  </cols>
  <sheetData>
    <row r="1" spans="1:24" ht="47" customHeight="1">
      <c r="A1" s="128" t="s">
        <v>315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M1" s="129" t="s">
        <v>355</v>
      </c>
      <c r="N1" s="129"/>
      <c r="O1" s="129"/>
      <c r="P1" s="129"/>
      <c r="Q1" s="129"/>
      <c r="R1" s="129"/>
      <c r="S1" s="93"/>
      <c r="T1" s="130" t="s">
        <v>410</v>
      </c>
      <c r="U1" s="131"/>
      <c r="V1" s="132" t="s">
        <v>411</v>
      </c>
      <c r="W1" s="133"/>
    </row>
    <row r="2" spans="1:24" ht="30" customHeight="1">
      <c r="A2" s="72" t="s">
        <v>304</v>
      </c>
      <c r="B2" s="86" t="s">
        <v>8</v>
      </c>
      <c r="C2" s="87" t="s">
        <v>5</v>
      </c>
      <c r="D2" s="86" t="s">
        <v>9</v>
      </c>
      <c r="E2" s="86" t="s">
        <v>10</v>
      </c>
      <c r="F2" s="86" t="s">
        <v>288</v>
      </c>
      <c r="G2" s="72" t="s">
        <v>356</v>
      </c>
      <c r="H2" s="72" t="s">
        <v>28</v>
      </c>
      <c r="I2" s="72" t="s">
        <v>29</v>
      </c>
      <c r="J2" s="72" t="s">
        <v>30</v>
      </c>
      <c r="K2" s="72" t="s">
        <v>31</v>
      </c>
      <c r="M2" s="72" t="s">
        <v>304</v>
      </c>
      <c r="N2" s="73" t="s">
        <v>8</v>
      </c>
      <c r="O2" s="73" t="s">
        <v>5</v>
      </c>
      <c r="P2" s="73" t="s">
        <v>9</v>
      </c>
      <c r="Q2" s="73" t="s">
        <v>10</v>
      </c>
      <c r="R2" s="73" t="s">
        <v>363</v>
      </c>
      <c r="T2" s="98" t="s">
        <v>364</v>
      </c>
      <c r="U2" s="98" t="s">
        <v>365</v>
      </c>
      <c r="V2" s="101" t="s">
        <v>364</v>
      </c>
      <c r="W2" s="101" t="s">
        <v>365</v>
      </c>
      <c r="X2" t="s">
        <v>395</v>
      </c>
    </row>
    <row r="3" spans="1:24">
      <c r="A3" s="94">
        <v>5</v>
      </c>
      <c r="B3" s="88" t="s">
        <v>346</v>
      </c>
      <c r="C3" s="88" t="s">
        <v>111</v>
      </c>
      <c r="D3" s="88" t="s">
        <v>45</v>
      </c>
      <c r="E3" s="88" t="s">
        <v>39</v>
      </c>
      <c r="F3" s="88">
        <v>0.1</v>
      </c>
      <c r="G3" s="79">
        <v>91.2</v>
      </c>
      <c r="H3" s="89">
        <v>11</v>
      </c>
      <c r="I3" s="90">
        <v>12</v>
      </c>
      <c r="J3" s="79">
        <v>2.97</v>
      </c>
      <c r="K3" s="79">
        <v>1.1399999999999999</v>
      </c>
      <c r="M3" s="75">
        <v>1</v>
      </c>
      <c r="N3" s="76" t="s">
        <v>301</v>
      </c>
      <c r="O3" s="77" t="s">
        <v>95</v>
      </c>
      <c r="P3" s="76" t="s">
        <v>62</v>
      </c>
      <c r="Q3" s="76" t="s">
        <v>54</v>
      </c>
      <c r="R3" s="76">
        <v>0.6</v>
      </c>
      <c r="T3" s="99" t="s">
        <v>366</v>
      </c>
      <c r="U3" s="100">
        <v>87</v>
      </c>
      <c r="V3" s="103" t="s">
        <v>366</v>
      </c>
      <c r="W3" s="102">
        <v>87</v>
      </c>
    </row>
    <row r="4" spans="1:24">
      <c r="A4" s="94">
        <v>15</v>
      </c>
      <c r="B4" s="88" t="s">
        <v>347</v>
      </c>
      <c r="C4" s="88" t="s">
        <v>114</v>
      </c>
      <c r="D4" s="88" t="s">
        <v>45</v>
      </c>
      <c r="E4" s="88" t="s">
        <v>39</v>
      </c>
      <c r="F4" s="88">
        <v>0</v>
      </c>
      <c r="G4" s="88">
        <v>119.2</v>
      </c>
      <c r="H4" s="78">
        <v>21</v>
      </c>
      <c r="I4" s="88">
        <v>12</v>
      </c>
      <c r="J4" s="91">
        <v>3.61</v>
      </c>
      <c r="K4" s="91">
        <v>1.22</v>
      </c>
      <c r="M4" s="75">
        <v>2</v>
      </c>
      <c r="N4" s="76" t="s">
        <v>302</v>
      </c>
      <c r="O4" s="77" t="s">
        <v>56</v>
      </c>
      <c r="P4" s="76" t="s">
        <v>62</v>
      </c>
      <c r="Q4" s="76" t="s">
        <v>54</v>
      </c>
      <c r="R4" s="76">
        <v>0</v>
      </c>
      <c r="T4" s="99" t="s">
        <v>367</v>
      </c>
      <c r="U4" s="114">
        <f>(97+84+97)/3</f>
        <v>92.666666666666671</v>
      </c>
      <c r="V4" s="103" t="s">
        <v>367</v>
      </c>
      <c r="W4" s="104">
        <f>(97+84+97)/3</f>
        <v>92.666666666666671</v>
      </c>
    </row>
    <row r="5" spans="1:24">
      <c r="A5" s="94">
        <v>16</v>
      </c>
      <c r="B5" s="88" t="s">
        <v>348</v>
      </c>
      <c r="C5" s="92" t="s">
        <v>47</v>
      </c>
      <c r="D5" s="88" t="s">
        <v>38</v>
      </c>
      <c r="E5" s="88" t="s">
        <v>39</v>
      </c>
      <c r="F5" s="88">
        <v>0</v>
      </c>
      <c r="G5" s="88">
        <v>88.1</v>
      </c>
      <c r="H5" s="88">
        <v>1</v>
      </c>
      <c r="I5" s="88">
        <v>6</v>
      </c>
      <c r="J5" s="91">
        <v>2.0299999999999998</v>
      </c>
      <c r="K5" s="91">
        <v>0.95</v>
      </c>
      <c r="M5" s="75">
        <v>3</v>
      </c>
      <c r="N5" s="76" t="s">
        <v>303</v>
      </c>
      <c r="O5" s="77" t="s">
        <v>121</v>
      </c>
      <c r="P5" s="76" t="s">
        <v>62</v>
      </c>
      <c r="Q5" s="76" t="s">
        <v>54</v>
      </c>
      <c r="R5" s="76">
        <v>0</v>
      </c>
      <c r="T5" s="99" t="s">
        <v>368</v>
      </c>
      <c r="U5" s="114">
        <f>(100+92+98)/3</f>
        <v>96.666666666666671</v>
      </c>
      <c r="V5" s="103" t="s">
        <v>368</v>
      </c>
      <c r="W5" s="104">
        <f>(100+92+98)/3</f>
        <v>96.666666666666671</v>
      </c>
    </row>
    <row r="6" spans="1:24">
      <c r="A6" s="94">
        <v>20</v>
      </c>
      <c r="B6" s="88" t="s">
        <v>349</v>
      </c>
      <c r="C6" s="88" t="s">
        <v>67</v>
      </c>
      <c r="D6" s="88" t="s">
        <v>45</v>
      </c>
      <c r="E6" s="88" t="s">
        <v>39</v>
      </c>
      <c r="F6" s="88">
        <v>0</v>
      </c>
      <c r="G6" s="88">
        <v>118</v>
      </c>
      <c r="H6" s="88">
        <v>6</v>
      </c>
      <c r="I6" s="88">
        <v>2</v>
      </c>
      <c r="J6" s="91">
        <v>2.59</v>
      </c>
      <c r="K6" s="91">
        <v>1.19</v>
      </c>
      <c r="M6" s="75">
        <v>4</v>
      </c>
      <c r="N6" s="76" t="s">
        <v>305</v>
      </c>
      <c r="O6" s="77" t="s">
        <v>101</v>
      </c>
      <c r="P6" s="76" t="s">
        <v>58</v>
      </c>
      <c r="Q6" s="76" t="s">
        <v>54</v>
      </c>
      <c r="R6" s="76">
        <v>0</v>
      </c>
      <c r="T6" s="99" t="s">
        <v>369</v>
      </c>
      <c r="U6" s="114">
        <f>(103+106+99)/3</f>
        <v>102.66666666666667</v>
      </c>
      <c r="V6" s="103" t="s">
        <v>369</v>
      </c>
      <c r="W6" s="104">
        <f>(103+106+99)/3</f>
        <v>102.66666666666667</v>
      </c>
    </row>
    <row r="7" spans="1:24">
      <c r="A7" s="95">
        <v>21</v>
      </c>
      <c r="B7" s="78" t="s">
        <v>357</v>
      </c>
      <c r="C7" s="78" t="s">
        <v>98</v>
      </c>
      <c r="D7" s="78" t="s">
        <v>45</v>
      </c>
      <c r="E7" s="78" t="s">
        <v>39</v>
      </c>
      <c r="F7" s="78">
        <v>0</v>
      </c>
      <c r="G7" s="78">
        <v>0</v>
      </c>
      <c r="H7" s="78">
        <v>0</v>
      </c>
      <c r="I7" s="78">
        <v>0</v>
      </c>
      <c r="J7" s="78">
        <v>0</v>
      </c>
      <c r="K7" s="78">
        <v>0</v>
      </c>
      <c r="M7" s="75">
        <v>5</v>
      </c>
      <c r="N7" s="88" t="s">
        <v>346</v>
      </c>
      <c r="O7" s="88" t="s">
        <v>111</v>
      </c>
      <c r="P7" s="88" t="s">
        <v>45</v>
      </c>
      <c r="Q7" s="88" t="s">
        <v>39</v>
      </c>
      <c r="R7" s="91">
        <f>X37</f>
        <v>1.2874796521739131</v>
      </c>
      <c r="T7" s="99" t="s">
        <v>370</v>
      </c>
      <c r="U7" s="114">
        <f>(103+100+101)/3</f>
        <v>101.33333333333333</v>
      </c>
      <c r="V7" s="103" t="s">
        <v>370</v>
      </c>
      <c r="W7" s="104">
        <f>(103+100+101)/3</f>
        <v>101.33333333333333</v>
      </c>
    </row>
    <row r="8" spans="1:24">
      <c r="A8" s="94">
        <v>30</v>
      </c>
      <c r="B8" s="88" t="s">
        <v>350</v>
      </c>
      <c r="C8" s="88" t="s">
        <v>47</v>
      </c>
      <c r="D8" s="88" t="s">
        <v>38</v>
      </c>
      <c r="E8" s="88" t="s">
        <v>39</v>
      </c>
      <c r="F8" s="88">
        <v>0</v>
      </c>
      <c r="G8" s="88">
        <v>7.2</v>
      </c>
      <c r="H8" s="88">
        <v>0</v>
      </c>
      <c r="I8" s="88">
        <v>1</v>
      </c>
      <c r="J8" s="91">
        <v>3.52</v>
      </c>
      <c r="K8" s="91">
        <v>1.17</v>
      </c>
      <c r="M8" s="75">
        <v>6</v>
      </c>
      <c r="N8" s="76" t="s">
        <v>306</v>
      </c>
      <c r="O8" s="77" t="s">
        <v>111</v>
      </c>
      <c r="P8" s="76" t="s">
        <v>62</v>
      </c>
      <c r="Q8" s="76" t="s">
        <v>54</v>
      </c>
      <c r="R8" s="82">
        <v>0</v>
      </c>
      <c r="T8" s="99" t="s">
        <v>371</v>
      </c>
      <c r="U8" s="114">
        <f>(106+145+101)/3</f>
        <v>117.33333333333333</v>
      </c>
      <c r="V8" s="103" t="s">
        <v>371</v>
      </c>
      <c r="W8" s="104">
        <f>(106+145+101)/3</f>
        <v>117.33333333333333</v>
      </c>
    </row>
    <row r="9" spans="1:24">
      <c r="A9" s="96">
        <v>32</v>
      </c>
      <c r="B9" s="97" t="s">
        <v>358</v>
      </c>
      <c r="C9" s="97" t="s">
        <v>359</v>
      </c>
      <c r="D9" s="78" t="s">
        <v>45</v>
      </c>
      <c r="E9" s="78" t="s">
        <v>39</v>
      </c>
      <c r="F9" s="78">
        <v>0</v>
      </c>
      <c r="G9" s="78">
        <v>109.2</v>
      </c>
      <c r="H9" s="78">
        <v>6</v>
      </c>
      <c r="I9" s="78">
        <v>2</v>
      </c>
      <c r="J9" s="78">
        <v>1.48</v>
      </c>
      <c r="K9" s="78">
        <v>0.88</v>
      </c>
      <c r="M9" s="75">
        <v>7</v>
      </c>
      <c r="N9" s="76" t="s">
        <v>307</v>
      </c>
      <c r="O9" s="77" t="s">
        <v>121</v>
      </c>
      <c r="P9" s="76" t="s">
        <v>58</v>
      </c>
      <c r="Q9" s="76" t="s">
        <v>54</v>
      </c>
      <c r="R9" s="76">
        <v>0</v>
      </c>
      <c r="T9" s="99" t="s">
        <v>372</v>
      </c>
      <c r="U9" s="114">
        <f>(95+86+97)/3</f>
        <v>92.666666666666671</v>
      </c>
      <c r="V9" s="103" t="s">
        <v>372</v>
      </c>
      <c r="W9" s="104">
        <f>(95+86+97)/3</f>
        <v>92.666666666666671</v>
      </c>
    </row>
    <row r="10" spans="1:24">
      <c r="A10" s="94">
        <v>33</v>
      </c>
      <c r="B10" s="88" t="s">
        <v>351</v>
      </c>
      <c r="C10" s="88" t="s">
        <v>98</v>
      </c>
      <c r="D10" s="88" t="s">
        <v>45</v>
      </c>
      <c r="E10" s="88" t="s">
        <v>39</v>
      </c>
      <c r="F10" s="88">
        <v>1.9</v>
      </c>
      <c r="G10" s="88">
        <v>108.9</v>
      </c>
      <c r="H10" s="88">
        <v>6</v>
      </c>
      <c r="I10" s="88">
        <v>4</v>
      </c>
      <c r="J10" s="91">
        <v>3.64</v>
      </c>
      <c r="K10" s="91">
        <v>1.1499999999999999</v>
      </c>
      <c r="M10" s="75">
        <v>8</v>
      </c>
      <c r="N10" s="76" t="s">
        <v>308</v>
      </c>
      <c r="O10" s="77" t="s">
        <v>156</v>
      </c>
      <c r="P10" s="76" t="s">
        <v>119</v>
      </c>
      <c r="Q10" s="76" t="s">
        <v>54</v>
      </c>
      <c r="R10" s="76">
        <v>-0.7</v>
      </c>
      <c r="T10" s="99" t="s">
        <v>373</v>
      </c>
      <c r="U10" s="114">
        <f>(90+99+95)/3</f>
        <v>94.666666666666671</v>
      </c>
      <c r="V10" s="103" t="s">
        <v>373</v>
      </c>
      <c r="W10" s="104">
        <f>(90+99+95)/3</f>
        <v>94.666666666666671</v>
      </c>
    </row>
    <row r="11" spans="1:24">
      <c r="A11" s="94">
        <v>40</v>
      </c>
      <c r="B11" s="88" t="s">
        <v>352</v>
      </c>
      <c r="C11" s="88" t="s">
        <v>73</v>
      </c>
      <c r="D11" s="88" t="s">
        <v>45</v>
      </c>
      <c r="E11" s="88" t="s">
        <v>39</v>
      </c>
      <c r="F11" s="88">
        <v>0</v>
      </c>
      <c r="G11" s="88">
        <v>116.1</v>
      </c>
      <c r="H11" s="88">
        <v>7</v>
      </c>
      <c r="I11" s="88">
        <v>4</v>
      </c>
      <c r="J11" s="91">
        <v>3.4</v>
      </c>
      <c r="K11" s="91">
        <v>1.1100000000000001</v>
      </c>
      <c r="M11" s="75">
        <v>9</v>
      </c>
      <c r="N11" s="76" t="s">
        <v>309</v>
      </c>
      <c r="O11" s="77" t="s">
        <v>89</v>
      </c>
      <c r="P11" s="76" t="s">
        <v>58</v>
      </c>
      <c r="Q11" s="76" t="s">
        <v>54</v>
      </c>
      <c r="R11" s="76">
        <v>-0.2</v>
      </c>
      <c r="T11" s="99" t="s">
        <v>374</v>
      </c>
      <c r="U11" s="114">
        <v>115</v>
      </c>
      <c r="V11" s="103" t="s">
        <v>374</v>
      </c>
      <c r="W11" s="104">
        <v>115</v>
      </c>
    </row>
    <row r="12" spans="1:24">
      <c r="A12" s="94">
        <v>42</v>
      </c>
      <c r="B12" s="88" t="s">
        <v>353</v>
      </c>
      <c r="C12" s="88" t="s">
        <v>51</v>
      </c>
      <c r="D12" s="88" t="s">
        <v>45</v>
      </c>
      <c r="E12" s="88" t="s">
        <v>39</v>
      </c>
      <c r="F12" s="88">
        <v>0</v>
      </c>
      <c r="G12" s="88">
        <v>34.1</v>
      </c>
      <c r="H12" s="88">
        <v>6</v>
      </c>
      <c r="I12" s="88">
        <v>5</v>
      </c>
      <c r="J12" s="91">
        <v>3.15</v>
      </c>
      <c r="K12" s="91">
        <v>1.07</v>
      </c>
      <c r="M12" s="75">
        <v>10</v>
      </c>
      <c r="N12" s="76" t="s">
        <v>310</v>
      </c>
      <c r="O12" s="77" t="s">
        <v>121</v>
      </c>
      <c r="P12" s="76" t="s">
        <v>144</v>
      </c>
      <c r="Q12" s="76" t="s">
        <v>54</v>
      </c>
      <c r="R12" s="76">
        <v>0</v>
      </c>
      <c r="T12" s="99" t="s">
        <v>375</v>
      </c>
      <c r="U12" s="114">
        <f>(91+84+100)/3</f>
        <v>91.666666666666671</v>
      </c>
      <c r="V12" s="103" t="s">
        <v>375</v>
      </c>
      <c r="W12" s="104">
        <f>(91+84+100)/3</f>
        <v>91.666666666666671</v>
      </c>
    </row>
    <row r="13" spans="1:24">
      <c r="A13" s="94">
        <v>46</v>
      </c>
      <c r="B13" s="88" t="s">
        <v>354</v>
      </c>
      <c r="C13" s="88" t="s">
        <v>42</v>
      </c>
      <c r="D13" s="88" t="s">
        <v>38</v>
      </c>
      <c r="E13" s="88" t="s">
        <v>39</v>
      </c>
      <c r="F13" s="88">
        <v>0</v>
      </c>
      <c r="G13" s="88">
        <v>96</v>
      </c>
      <c r="H13" s="88">
        <v>6</v>
      </c>
      <c r="I13" s="88">
        <v>5</v>
      </c>
      <c r="J13" s="91">
        <v>2.96</v>
      </c>
      <c r="K13" s="91">
        <v>1.35</v>
      </c>
      <c r="M13" s="75">
        <v>11</v>
      </c>
      <c r="N13" s="76" t="s">
        <v>311</v>
      </c>
      <c r="O13" s="77" t="s">
        <v>67</v>
      </c>
      <c r="P13" s="76" t="s">
        <v>62</v>
      </c>
      <c r="Q13" s="76" t="s">
        <v>54</v>
      </c>
      <c r="R13" s="76">
        <v>0</v>
      </c>
      <c r="T13" s="99" t="s">
        <v>376</v>
      </c>
      <c r="U13" s="114">
        <v>100</v>
      </c>
      <c r="V13" s="103" t="s">
        <v>376</v>
      </c>
      <c r="W13" s="104">
        <v>100</v>
      </c>
    </row>
    <row r="14" spans="1:24">
      <c r="A14" s="71"/>
      <c r="B14" s="38"/>
      <c r="C14" s="38"/>
      <c r="D14" s="38"/>
      <c r="E14" s="38"/>
      <c r="F14" s="38"/>
      <c r="G14" s="38"/>
      <c r="H14" s="38"/>
      <c r="I14" s="38"/>
      <c r="J14" s="66"/>
      <c r="K14" s="67"/>
      <c r="M14" s="75">
        <v>12</v>
      </c>
      <c r="N14" s="76" t="s">
        <v>312</v>
      </c>
      <c r="O14" s="77" t="s">
        <v>316</v>
      </c>
      <c r="P14" s="76" t="s">
        <v>144</v>
      </c>
      <c r="Q14" s="76" t="s">
        <v>54</v>
      </c>
      <c r="R14" s="76">
        <v>0</v>
      </c>
      <c r="T14" s="99" t="s">
        <v>377</v>
      </c>
      <c r="U14" s="114">
        <f>(108+119+102)/3</f>
        <v>109.66666666666667</v>
      </c>
      <c r="V14" s="103" t="s">
        <v>377</v>
      </c>
      <c r="W14" s="104">
        <f>(108+119+102)/3</f>
        <v>109.66666666666667</v>
      </c>
    </row>
    <row r="15" spans="1:24">
      <c r="M15" s="75">
        <v>13</v>
      </c>
      <c r="N15" s="76" t="s">
        <v>313</v>
      </c>
      <c r="O15" s="77" t="s">
        <v>156</v>
      </c>
      <c r="P15" s="76" t="s">
        <v>53</v>
      </c>
      <c r="Q15" s="76" t="s">
        <v>54</v>
      </c>
      <c r="R15" s="76">
        <v>0</v>
      </c>
      <c r="T15" s="99" t="s">
        <v>378</v>
      </c>
      <c r="U15" s="114">
        <v>100</v>
      </c>
      <c r="V15" s="103" t="s">
        <v>378</v>
      </c>
      <c r="W15" s="104">
        <v>100</v>
      </c>
    </row>
    <row r="16" spans="1:24">
      <c r="M16" s="75">
        <v>14</v>
      </c>
      <c r="N16" s="76" t="s">
        <v>317</v>
      </c>
      <c r="O16" s="77" t="s">
        <v>187</v>
      </c>
      <c r="P16" s="76" t="s">
        <v>62</v>
      </c>
      <c r="Q16" s="76" t="s">
        <v>54</v>
      </c>
      <c r="R16" s="76">
        <v>0.2</v>
      </c>
      <c r="T16" s="99" t="s">
        <v>379</v>
      </c>
      <c r="U16" s="114">
        <v>100</v>
      </c>
      <c r="V16" s="103" t="s">
        <v>379</v>
      </c>
      <c r="W16" s="104">
        <v>100</v>
      </c>
    </row>
    <row r="17" spans="1:38" ht="22">
      <c r="A17" s="121" t="s">
        <v>314</v>
      </c>
      <c r="B17" s="121"/>
      <c r="C17" s="121"/>
      <c r="D17" s="121"/>
      <c r="E17" s="121"/>
      <c r="F17" s="121"/>
      <c r="G17" s="121"/>
      <c r="H17" s="121"/>
      <c r="I17" s="121"/>
      <c r="J17" s="121"/>
      <c r="M17" s="75">
        <v>15</v>
      </c>
      <c r="N17" s="88" t="s">
        <v>347</v>
      </c>
      <c r="O17" s="88" t="s">
        <v>114</v>
      </c>
      <c r="P17" s="88" t="s">
        <v>45</v>
      </c>
      <c r="Q17" s="88" t="s">
        <v>39</v>
      </c>
      <c r="R17" s="91">
        <f>X38</f>
        <v>0.92552177777777822</v>
      </c>
      <c r="T17" s="99" t="s">
        <v>380</v>
      </c>
      <c r="U17" s="114">
        <f>(88+94+96)/3</f>
        <v>92.666666666666671</v>
      </c>
      <c r="V17" s="103" t="s">
        <v>380</v>
      </c>
      <c r="W17" s="104">
        <f>(88+94+96)/3</f>
        <v>92.666666666666671</v>
      </c>
    </row>
    <row r="18" spans="1:38">
      <c r="A18" s="72" t="s">
        <v>304</v>
      </c>
      <c r="B18" s="73" t="s">
        <v>8</v>
      </c>
      <c r="C18" s="73" t="s">
        <v>5</v>
      </c>
      <c r="D18" s="73" t="s">
        <v>9</v>
      </c>
      <c r="E18" s="73" t="s">
        <v>10</v>
      </c>
      <c r="F18" s="73" t="s">
        <v>288</v>
      </c>
      <c r="G18" s="74" t="s">
        <v>18</v>
      </c>
      <c r="H18" s="74" t="s">
        <v>20</v>
      </c>
      <c r="I18" s="74" t="s">
        <v>19</v>
      </c>
      <c r="J18" s="74" t="s">
        <v>21</v>
      </c>
      <c r="M18" s="75">
        <v>16</v>
      </c>
      <c r="N18" s="88" t="s">
        <v>348</v>
      </c>
      <c r="O18" s="92" t="s">
        <v>47</v>
      </c>
      <c r="P18" s="88" t="s">
        <v>38</v>
      </c>
      <c r="Q18" s="88" t="s">
        <v>39</v>
      </c>
      <c r="R18" s="91">
        <f>X39</f>
        <v>2.7054112782526114</v>
      </c>
      <c r="T18" s="99" t="s">
        <v>381</v>
      </c>
      <c r="U18" s="114">
        <f>(107+90+100)/3</f>
        <v>99</v>
      </c>
      <c r="V18" s="103" t="s">
        <v>381</v>
      </c>
      <c r="W18" s="104">
        <f>(107+90+100)/3</f>
        <v>99</v>
      </c>
    </row>
    <row r="19" spans="1:38">
      <c r="A19" s="75">
        <v>1</v>
      </c>
      <c r="B19" s="76" t="s">
        <v>301</v>
      </c>
      <c r="C19" s="77" t="s">
        <v>95</v>
      </c>
      <c r="D19" s="76" t="s">
        <v>62</v>
      </c>
      <c r="E19" s="76" t="s">
        <v>54</v>
      </c>
      <c r="F19" s="76">
        <v>0.6</v>
      </c>
      <c r="G19" s="78">
        <v>534</v>
      </c>
      <c r="H19" s="79">
        <v>0.27500000000000002</v>
      </c>
      <c r="I19" s="79">
        <v>18</v>
      </c>
      <c r="J19" s="79">
        <v>0.80600000000000005</v>
      </c>
      <c r="M19" s="75">
        <v>17</v>
      </c>
      <c r="N19" s="76" t="s">
        <v>318</v>
      </c>
      <c r="O19" s="77" t="s">
        <v>92</v>
      </c>
      <c r="P19" s="76" t="s">
        <v>103</v>
      </c>
      <c r="Q19" s="76" t="s">
        <v>54</v>
      </c>
      <c r="R19" s="76">
        <v>0</v>
      </c>
      <c r="T19" s="99" t="s">
        <v>382</v>
      </c>
      <c r="U19" s="114">
        <f>(120+137+108)/3</f>
        <v>121.66666666666667</v>
      </c>
      <c r="V19" s="103" t="s">
        <v>382</v>
      </c>
      <c r="W19" s="104">
        <f>(120+137+108)/3</f>
        <v>121.66666666666667</v>
      </c>
    </row>
    <row r="20" spans="1:38">
      <c r="A20" s="75">
        <v>2</v>
      </c>
      <c r="B20" s="76" t="s">
        <v>302</v>
      </c>
      <c r="C20" s="77" t="s">
        <v>56</v>
      </c>
      <c r="D20" s="76" t="s">
        <v>62</v>
      </c>
      <c r="E20" s="76" t="s">
        <v>54</v>
      </c>
      <c r="F20" s="76">
        <v>0</v>
      </c>
      <c r="G20" s="80">
        <v>410</v>
      </c>
      <c r="H20" s="81">
        <v>0.30199999999999999</v>
      </c>
      <c r="I20" s="80">
        <v>9</v>
      </c>
      <c r="J20" s="81">
        <v>0.873</v>
      </c>
      <c r="M20" s="75">
        <v>18</v>
      </c>
      <c r="N20" s="76" t="s">
        <v>319</v>
      </c>
      <c r="O20" s="77" t="s">
        <v>322</v>
      </c>
      <c r="P20" s="76" t="s">
        <v>119</v>
      </c>
      <c r="Q20" s="76" t="s">
        <v>54</v>
      </c>
      <c r="R20" s="76">
        <v>0</v>
      </c>
      <c r="T20" s="99" t="s">
        <v>383</v>
      </c>
      <c r="U20" s="114">
        <f>(103+116+98)/3</f>
        <v>105.66666666666667</v>
      </c>
      <c r="V20" s="103" t="s">
        <v>383</v>
      </c>
      <c r="W20" s="104">
        <f>(103+116+98)/3</f>
        <v>105.66666666666667</v>
      </c>
    </row>
    <row r="21" spans="1:38">
      <c r="A21" s="75">
        <v>3</v>
      </c>
      <c r="B21" s="76" t="s">
        <v>303</v>
      </c>
      <c r="C21" s="77" t="s">
        <v>121</v>
      </c>
      <c r="D21" s="76" t="s">
        <v>62</v>
      </c>
      <c r="E21" s="76" t="s">
        <v>54</v>
      </c>
      <c r="F21" s="76">
        <v>0</v>
      </c>
      <c r="G21" s="80">
        <v>923</v>
      </c>
      <c r="H21" s="81">
        <v>0.28399999999999997</v>
      </c>
      <c r="I21" s="80">
        <v>32</v>
      </c>
      <c r="J21" s="81">
        <v>0.871</v>
      </c>
      <c r="M21" s="75">
        <v>19</v>
      </c>
      <c r="N21" s="76" t="s">
        <v>320</v>
      </c>
      <c r="O21" s="77" t="s">
        <v>81</v>
      </c>
      <c r="P21" s="76" t="s">
        <v>53</v>
      </c>
      <c r="Q21" s="76" t="s">
        <v>54</v>
      </c>
      <c r="R21" s="76">
        <v>0</v>
      </c>
      <c r="T21" s="99" t="s">
        <v>321</v>
      </c>
      <c r="U21" s="114">
        <f>(95+97+101)/3</f>
        <v>97.666666666666671</v>
      </c>
      <c r="V21" s="103" t="s">
        <v>321</v>
      </c>
      <c r="W21" s="104">
        <f>(95+97+101)/3</f>
        <v>97.666666666666671</v>
      </c>
    </row>
    <row r="22" spans="1:38">
      <c r="A22" s="75">
        <v>4</v>
      </c>
      <c r="B22" s="76" t="s">
        <v>305</v>
      </c>
      <c r="C22" s="77" t="s">
        <v>101</v>
      </c>
      <c r="D22" s="76" t="s">
        <v>58</v>
      </c>
      <c r="E22" s="76" t="s">
        <v>54</v>
      </c>
      <c r="F22" s="76">
        <v>0</v>
      </c>
      <c r="G22" s="80">
        <v>1359</v>
      </c>
      <c r="H22" s="81">
        <v>0.25600000000000001</v>
      </c>
      <c r="I22" s="80">
        <v>62</v>
      </c>
      <c r="J22" s="81">
        <v>0.83099999999999996</v>
      </c>
      <c r="M22" s="75">
        <v>20</v>
      </c>
      <c r="N22" s="88" t="s">
        <v>349</v>
      </c>
      <c r="O22" s="88" t="s">
        <v>67</v>
      </c>
      <c r="P22" s="88" t="s">
        <v>45</v>
      </c>
      <c r="Q22" s="88" t="s">
        <v>39</v>
      </c>
      <c r="R22" s="91">
        <f>X40</f>
        <v>2.9455764251207732</v>
      </c>
      <c r="T22" s="99" t="s">
        <v>384</v>
      </c>
      <c r="U22" s="114">
        <v>100</v>
      </c>
      <c r="V22" s="103" t="s">
        <v>384</v>
      </c>
      <c r="W22" s="104">
        <v>100</v>
      </c>
    </row>
    <row r="23" spans="1:38">
      <c r="A23" s="75">
        <v>6</v>
      </c>
      <c r="B23" s="76" t="s">
        <v>306</v>
      </c>
      <c r="C23" s="77" t="s">
        <v>111</v>
      </c>
      <c r="D23" s="76" t="s">
        <v>62</v>
      </c>
      <c r="E23" s="76" t="s">
        <v>54</v>
      </c>
      <c r="F23" s="82">
        <v>0</v>
      </c>
      <c r="G23" s="83">
        <v>505</v>
      </c>
      <c r="H23" s="83">
        <v>0.26900000000000002</v>
      </c>
      <c r="I23" s="80">
        <v>11</v>
      </c>
      <c r="J23" s="84">
        <v>0.78800000000000003</v>
      </c>
      <c r="M23" s="95">
        <v>21</v>
      </c>
      <c r="N23" s="78" t="s">
        <v>357</v>
      </c>
      <c r="O23" s="78" t="s">
        <v>98</v>
      </c>
      <c r="P23" s="78" t="s">
        <v>45</v>
      </c>
      <c r="Q23" s="78" t="s">
        <v>39</v>
      </c>
      <c r="R23" s="113">
        <f>X41</f>
        <v>0</v>
      </c>
      <c r="T23" s="99" t="s">
        <v>385</v>
      </c>
      <c r="U23" s="114">
        <f>(98+94+101)/3</f>
        <v>97.666666666666671</v>
      </c>
      <c r="V23" s="103" t="s">
        <v>385</v>
      </c>
      <c r="W23" s="104">
        <f>(98+94+101)/3</f>
        <v>97.666666666666671</v>
      </c>
    </row>
    <row r="24" spans="1:38">
      <c r="A24" s="75">
        <v>7</v>
      </c>
      <c r="B24" s="76" t="s">
        <v>307</v>
      </c>
      <c r="C24" s="77" t="s">
        <v>121</v>
      </c>
      <c r="D24" s="76" t="s">
        <v>58</v>
      </c>
      <c r="E24" s="76" t="s">
        <v>54</v>
      </c>
      <c r="F24" s="76">
        <v>0</v>
      </c>
      <c r="G24" s="79">
        <v>1055</v>
      </c>
      <c r="H24" s="79">
        <v>0.27400000000000002</v>
      </c>
      <c r="I24" s="79">
        <v>37</v>
      </c>
      <c r="J24" s="79">
        <v>0.82699999999999996</v>
      </c>
      <c r="M24" s="75">
        <v>22</v>
      </c>
      <c r="N24" s="76" t="s">
        <v>331</v>
      </c>
      <c r="O24" s="77" t="s">
        <v>51</v>
      </c>
      <c r="P24" s="76" t="s">
        <v>144</v>
      </c>
      <c r="Q24" s="76" t="s">
        <v>54</v>
      </c>
      <c r="R24" s="76">
        <v>0</v>
      </c>
      <c r="T24" s="99" t="s">
        <v>386</v>
      </c>
      <c r="U24" s="114">
        <f>(99+88+99)/3</f>
        <v>95.333333333333329</v>
      </c>
      <c r="V24" s="103" t="s">
        <v>386</v>
      </c>
      <c r="W24" s="104">
        <f>(99+88+99)/3</f>
        <v>95.333333333333329</v>
      </c>
    </row>
    <row r="25" spans="1:38">
      <c r="A25" s="75">
        <v>8</v>
      </c>
      <c r="B25" s="76" t="s">
        <v>308</v>
      </c>
      <c r="C25" s="77" t="s">
        <v>156</v>
      </c>
      <c r="D25" s="76" t="s">
        <v>119</v>
      </c>
      <c r="E25" s="76" t="s">
        <v>54</v>
      </c>
      <c r="F25" s="76">
        <v>-0.7</v>
      </c>
      <c r="G25" s="79">
        <v>1432</v>
      </c>
      <c r="H25" s="79">
        <v>0.28299999999999997</v>
      </c>
      <c r="I25" s="79">
        <v>82</v>
      </c>
      <c r="J25" s="79">
        <v>0.92200000000000004</v>
      </c>
      <c r="M25" s="75">
        <v>23</v>
      </c>
      <c r="N25" s="76" t="s">
        <v>323</v>
      </c>
      <c r="O25" s="77" t="s">
        <v>131</v>
      </c>
      <c r="P25" s="76" t="s">
        <v>333</v>
      </c>
      <c r="Q25" s="76" t="s">
        <v>54</v>
      </c>
      <c r="R25" s="76">
        <v>0</v>
      </c>
      <c r="T25" s="99" t="s">
        <v>387</v>
      </c>
      <c r="U25" s="114">
        <v>100</v>
      </c>
      <c r="V25" s="103" t="s">
        <v>387</v>
      </c>
      <c r="W25" s="104">
        <v>100</v>
      </c>
    </row>
    <row r="26" spans="1:38" ht="17" customHeight="1">
      <c r="A26" s="75">
        <v>9</v>
      </c>
      <c r="B26" s="76" t="s">
        <v>309</v>
      </c>
      <c r="C26" s="77" t="s">
        <v>89</v>
      </c>
      <c r="D26" s="76" t="s">
        <v>58</v>
      </c>
      <c r="E26" s="76" t="s">
        <v>54</v>
      </c>
      <c r="F26" s="76">
        <v>-0.2</v>
      </c>
      <c r="G26" s="79">
        <v>896</v>
      </c>
      <c r="H26" s="79">
        <v>0.29399999999999998</v>
      </c>
      <c r="I26" s="79">
        <v>38</v>
      </c>
      <c r="J26" s="79">
        <v>0.89300000000000002</v>
      </c>
      <c r="M26" s="75">
        <v>24</v>
      </c>
      <c r="N26" s="76" t="s">
        <v>324</v>
      </c>
      <c r="O26" s="77" t="s">
        <v>332</v>
      </c>
      <c r="P26" s="76" t="s">
        <v>58</v>
      </c>
      <c r="Q26" s="76" t="s">
        <v>54</v>
      </c>
      <c r="R26" s="76"/>
      <c r="T26" s="99" t="s">
        <v>388</v>
      </c>
      <c r="U26" s="114">
        <v>100</v>
      </c>
      <c r="V26" s="103" t="s">
        <v>388</v>
      </c>
      <c r="W26" s="104">
        <v>100</v>
      </c>
      <c r="AF26" s="68"/>
      <c r="AG26" s="68"/>
      <c r="AH26" s="68"/>
      <c r="AI26" s="68"/>
      <c r="AJ26" s="68"/>
      <c r="AK26" s="68"/>
      <c r="AL26" s="68"/>
    </row>
    <row r="27" spans="1:38">
      <c r="A27" s="75">
        <v>10</v>
      </c>
      <c r="B27" s="76" t="s">
        <v>310</v>
      </c>
      <c r="C27" s="77" t="s">
        <v>121</v>
      </c>
      <c r="D27" s="76" t="s">
        <v>144</v>
      </c>
      <c r="E27" s="76" t="s">
        <v>54</v>
      </c>
      <c r="F27" s="76">
        <v>0</v>
      </c>
      <c r="G27" s="79">
        <v>498</v>
      </c>
      <c r="H27" s="79">
        <v>0.32700000000000001</v>
      </c>
      <c r="I27" s="79">
        <v>21</v>
      </c>
      <c r="J27" s="79">
        <v>0.98499999999999999</v>
      </c>
      <c r="M27" s="75">
        <v>25</v>
      </c>
      <c r="N27" s="76" t="s">
        <v>325</v>
      </c>
      <c r="O27" s="77" t="s">
        <v>121</v>
      </c>
      <c r="P27" s="76" t="s">
        <v>53</v>
      </c>
      <c r="Q27" s="76" t="s">
        <v>54</v>
      </c>
      <c r="R27" s="76">
        <v>0</v>
      </c>
      <c r="T27" s="99" t="s">
        <v>389</v>
      </c>
      <c r="U27" s="114">
        <v>100</v>
      </c>
      <c r="V27" s="103" t="s">
        <v>389</v>
      </c>
      <c r="W27" s="104">
        <v>100</v>
      </c>
      <c r="AF27" s="69"/>
      <c r="AG27" s="69"/>
      <c r="AH27" s="69"/>
      <c r="AI27" s="69"/>
      <c r="AJ27" s="69"/>
      <c r="AK27" s="69"/>
      <c r="AL27" s="69"/>
    </row>
    <row r="28" spans="1:38">
      <c r="A28" s="75">
        <v>11</v>
      </c>
      <c r="B28" s="76" t="s">
        <v>311</v>
      </c>
      <c r="C28" s="77" t="s">
        <v>67</v>
      </c>
      <c r="D28" s="76" t="s">
        <v>62</v>
      </c>
      <c r="E28" s="76" t="s">
        <v>54</v>
      </c>
      <c r="F28" s="76">
        <v>0</v>
      </c>
      <c r="G28" s="79">
        <v>100</v>
      </c>
      <c r="H28" s="85">
        <v>0.18</v>
      </c>
      <c r="I28" s="79">
        <v>1</v>
      </c>
      <c r="J28" s="79">
        <v>0.51800000000000002</v>
      </c>
      <c r="M28" s="75">
        <v>26</v>
      </c>
      <c r="N28" s="76" t="s">
        <v>326</v>
      </c>
      <c r="O28" s="77" t="s">
        <v>64</v>
      </c>
      <c r="P28" s="76" t="s">
        <v>58</v>
      </c>
      <c r="Q28" s="76" t="s">
        <v>54</v>
      </c>
      <c r="R28" s="76">
        <v>0</v>
      </c>
      <c r="T28" s="99" t="s">
        <v>390</v>
      </c>
      <c r="U28" s="114">
        <f>(96+90+101)/3</f>
        <v>95.666666666666671</v>
      </c>
      <c r="V28" s="103" t="s">
        <v>390</v>
      </c>
      <c r="W28" s="104">
        <f>(96+90+101)/3</f>
        <v>95.666666666666671</v>
      </c>
      <c r="AF28" s="69"/>
      <c r="AG28" s="69"/>
      <c r="AH28" s="69"/>
      <c r="AI28" s="69"/>
      <c r="AJ28" s="69"/>
      <c r="AK28" s="69"/>
      <c r="AL28" s="69"/>
    </row>
    <row r="29" spans="1:38">
      <c r="A29" s="75">
        <v>12</v>
      </c>
      <c r="B29" s="76" t="s">
        <v>312</v>
      </c>
      <c r="C29" s="77" t="s">
        <v>316</v>
      </c>
      <c r="D29" s="76" t="s">
        <v>144</v>
      </c>
      <c r="E29" s="76" t="s">
        <v>54</v>
      </c>
      <c r="F29" s="76">
        <v>0</v>
      </c>
      <c r="G29" s="79">
        <v>101</v>
      </c>
      <c r="H29" s="79">
        <v>0.23799999999999999</v>
      </c>
      <c r="I29" s="79">
        <v>3</v>
      </c>
      <c r="J29" s="79">
        <v>0.76500000000000001</v>
      </c>
      <c r="M29" s="75">
        <v>27</v>
      </c>
      <c r="N29" s="76" t="s">
        <v>327</v>
      </c>
      <c r="O29" s="77" t="s">
        <v>60</v>
      </c>
      <c r="P29" s="76" t="s">
        <v>58</v>
      </c>
      <c r="Q29" s="76" t="s">
        <v>54</v>
      </c>
      <c r="R29" s="76">
        <v>0</v>
      </c>
      <c r="T29" s="99" t="s">
        <v>391</v>
      </c>
      <c r="U29" s="114">
        <f>(106+119+104)/3</f>
        <v>109.66666666666667</v>
      </c>
      <c r="V29" s="103" t="s">
        <v>391</v>
      </c>
      <c r="W29" s="104">
        <f>(106+119+104)/3</f>
        <v>109.66666666666667</v>
      </c>
      <c r="AF29" s="69"/>
      <c r="AG29" s="69"/>
      <c r="AH29" s="69"/>
      <c r="AI29" s="69"/>
      <c r="AJ29" s="69"/>
      <c r="AK29" s="69"/>
      <c r="AL29" s="69"/>
    </row>
    <row r="30" spans="1:38">
      <c r="A30" s="75">
        <v>13</v>
      </c>
      <c r="B30" s="76" t="s">
        <v>313</v>
      </c>
      <c r="C30" s="77" t="s">
        <v>156</v>
      </c>
      <c r="D30" s="76" t="s">
        <v>53</v>
      </c>
      <c r="E30" s="76" t="s">
        <v>54</v>
      </c>
      <c r="F30" s="76">
        <v>0</v>
      </c>
      <c r="G30" s="79">
        <v>1190</v>
      </c>
      <c r="H30" s="79">
        <v>0.28599999999999998</v>
      </c>
      <c r="I30" s="79">
        <v>50</v>
      </c>
      <c r="J30" s="79">
        <v>0.84099999999999997</v>
      </c>
      <c r="M30" s="75">
        <v>28</v>
      </c>
      <c r="N30" s="76" t="s">
        <v>328</v>
      </c>
      <c r="O30" s="77" t="s">
        <v>81</v>
      </c>
      <c r="P30" s="76" t="s">
        <v>58</v>
      </c>
      <c r="Q30" s="76" t="s">
        <v>54</v>
      </c>
      <c r="R30" s="76">
        <v>0</v>
      </c>
      <c r="T30" s="99" t="s">
        <v>392</v>
      </c>
      <c r="U30" s="114">
        <v>100</v>
      </c>
      <c r="V30" s="103" t="s">
        <v>392</v>
      </c>
      <c r="W30" s="104">
        <v>100</v>
      </c>
      <c r="AF30" s="69"/>
      <c r="AG30" s="69"/>
      <c r="AH30" s="69"/>
      <c r="AI30" s="69"/>
      <c r="AJ30" s="69"/>
      <c r="AK30" s="69"/>
      <c r="AL30" s="69"/>
    </row>
    <row r="31" spans="1:38">
      <c r="A31" s="75">
        <v>14</v>
      </c>
      <c r="B31" s="76" t="s">
        <v>317</v>
      </c>
      <c r="C31" s="77" t="s">
        <v>187</v>
      </c>
      <c r="D31" s="76" t="s">
        <v>62</v>
      </c>
      <c r="E31" s="76" t="s">
        <v>54</v>
      </c>
      <c r="F31" s="76">
        <v>0.2</v>
      </c>
      <c r="G31" s="79">
        <v>1339</v>
      </c>
      <c r="H31" s="79">
        <v>0.27400000000000002</v>
      </c>
      <c r="I31" s="79">
        <v>47</v>
      </c>
      <c r="J31" s="79">
        <v>0.81699999999999995</v>
      </c>
      <c r="M31" s="75">
        <v>29</v>
      </c>
      <c r="N31" s="76" t="s">
        <v>329</v>
      </c>
      <c r="O31" s="77" t="s">
        <v>56</v>
      </c>
      <c r="P31" s="76" t="s">
        <v>62</v>
      </c>
      <c r="Q31" s="76" t="s">
        <v>54</v>
      </c>
      <c r="R31" s="76">
        <v>0</v>
      </c>
      <c r="T31" s="99" t="s">
        <v>393</v>
      </c>
      <c r="U31" s="114">
        <f>(102+74+104)/3</f>
        <v>93.333333333333329</v>
      </c>
      <c r="V31" s="103" t="s">
        <v>393</v>
      </c>
      <c r="W31" s="104">
        <f>(102+74+104)/3</f>
        <v>93.333333333333329</v>
      </c>
      <c r="AF31" s="69"/>
      <c r="AG31" s="69"/>
      <c r="AH31" s="69"/>
      <c r="AI31" s="69"/>
      <c r="AJ31" s="69"/>
      <c r="AK31" s="69"/>
      <c r="AL31" s="69"/>
    </row>
    <row r="32" spans="1:38">
      <c r="A32" s="75">
        <v>17</v>
      </c>
      <c r="B32" s="76" t="s">
        <v>318</v>
      </c>
      <c r="C32" s="77" t="s">
        <v>92</v>
      </c>
      <c r="D32" s="76" t="s">
        <v>103</v>
      </c>
      <c r="E32" s="76" t="s">
        <v>54</v>
      </c>
      <c r="F32" s="76">
        <v>0</v>
      </c>
      <c r="G32" s="79">
        <v>116</v>
      </c>
      <c r="H32" s="79">
        <v>0.24099999999999999</v>
      </c>
      <c r="I32" s="79">
        <v>2</v>
      </c>
      <c r="J32" s="85">
        <v>0.69</v>
      </c>
      <c r="M32" s="94">
        <v>30</v>
      </c>
      <c r="N32" s="88" t="s">
        <v>350</v>
      </c>
      <c r="O32" s="88" t="s">
        <v>47</v>
      </c>
      <c r="P32" s="88" t="s">
        <v>38</v>
      </c>
      <c r="Q32" s="88" t="s">
        <v>39</v>
      </c>
      <c r="R32" s="91">
        <f>X42</f>
        <v>0.11922023931623933</v>
      </c>
      <c r="T32" s="99" t="s">
        <v>394</v>
      </c>
      <c r="U32" s="114">
        <f>(98+103+97)/3</f>
        <v>99.333333333333329</v>
      </c>
      <c r="V32" s="103" t="s">
        <v>394</v>
      </c>
      <c r="W32" s="104">
        <f>(98+103+97)/3</f>
        <v>99.333333333333329</v>
      </c>
      <c r="AF32" s="69"/>
      <c r="AG32" s="69"/>
      <c r="AH32" s="69"/>
      <c r="AI32" s="69"/>
      <c r="AJ32" s="69"/>
      <c r="AK32" s="69"/>
      <c r="AL32" s="69"/>
    </row>
    <row r="33" spans="1:38">
      <c r="A33" s="75">
        <v>18</v>
      </c>
      <c r="B33" s="76" t="s">
        <v>319</v>
      </c>
      <c r="C33" s="77" t="s">
        <v>322</v>
      </c>
      <c r="D33" s="76" t="s">
        <v>119</v>
      </c>
      <c r="E33" s="76" t="s">
        <v>54</v>
      </c>
      <c r="F33" s="76">
        <v>0</v>
      </c>
      <c r="G33" s="79">
        <v>105</v>
      </c>
      <c r="H33" s="79">
        <v>0.29499999999999998</v>
      </c>
      <c r="I33" s="79">
        <v>2</v>
      </c>
      <c r="J33" s="79">
        <v>0.80500000000000005</v>
      </c>
      <c r="M33" s="75">
        <v>31</v>
      </c>
      <c r="N33" s="76" t="s">
        <v>330</v>
      </c>
      <c r="O33" s="77" t="s">
        <v>111</v>
      </c>
      <c r="P33" s="76" t="s">
        <v>58</v>
      </c>
      <c r="Q33" s="76" t="s">
        <v>54</v>
      </c>
      <c r="R33" s="76">
        <v>0</v>
      </c>
      <c r="AF33" s="69"/>
      <c r="AG33" s="69"/>
      <c r="AH33" s="69"/>
      <c r="AI33" s="69"/>
      <c r="AJ33" s="69"/>
      <c r="AK33" s="69"/>
      <c r="AL33" s="69"/>
    </row>
    <row r="34" spans="1:38">
      <c r="A34" s="75">
        <v>19</v>
      </c>
      <c r="B34" s="76" t="s">
        <v>320</v>
      </c>
      <c r="C34" s="77" t="s">
        <v>81</v>
      </c>
      <c r="D34" s="76" t="s">
        <v>53</v>
      </c>
      <c r="E34" s="76" t="s">
        <v>54</v>
      </c>
      <c r="F34" s="76">
        <v>0</v>
      </c>
      <c r="G34" s="79">
        <v>666</v>
      </c>
      <c r="H34" s="79">
        <v>0.222</v>
      </c>
      <c r="I34" s="79">
        <v>13</v>
      </c>
      <c r="J34" s="79">
        <v>0.65700000000000003</v>
      </c>
      <c r="M34" s="94">
        <v>32</v>
      </c>
      <c r="N34" s="88" t="s">
        <v>358</v>
      </c>
      <c r="O34" s="88" t="s">
        <v>359</v>
      </c>
      <c r="P34" s="78" t="s">
        <v>45</v>
      </c>
      <c r="Q34" s="78" t="s">
        <v>39</v>
      </c>
      <c r="R34" s="113">
        <f>X43</f>
        <v>3.6261630476190474</v>
      </c>
      <c r="AF34" s="69"/>
      <c r="AG34" s="69"/>
      <c r="AH34" s="69"/>
      <c r="AI34" s="69"/>
      <c r="AJ34" s="69"/>
      <c r="AK34" s="69"/>
      <c r="AL34" s="69"/>
    </row>
    <row r="35" spans="1:38" ht="22">
      <c r="A35" s="75">
        <v>22</v>
      </c>
      <c r="B35" s="76" t="s">
        <v>331</v>
      </c>
      <c r="C35" s="77" t="s">
        <v>51</v>
      </c>
      <c r="D35" s="76" t="s">
        <v>144</v>
      </c>
      <c r="E35" s="76" t="s">
        <v>54</v>
      </c>
      <c r="F35" s="76">
        <v>0</v>
      </c>
      <c r="G35" s="79">
        <v>600</v>
      </c>
      <c r="H35" s="79">
        <v>0.30299999999999999</v>
      </c>
      <c r="I35" s="79">
        <v>29</v>
      </c>
      <c r="J35" s="79">
        <v>0.90600000000000003</v>
      </c>
      <c r="M35" s="94">
        <v>33</v>
      </c>
      <c r="N35" s="88" t="s">
        <v>351</v>
      </c>
      <c r="O35" s="88" t="s">
        <v>98</v>
      </c>
      <c r="P35" s="88" t="s">
        <v>45</v>
      </c>
      <c r="Q35" s="88" t="s">
        <v>39</v>
      </c>
      <c r="R35" s="91">
        <f>X44</f>
        <v>0.70763402150537646</v>
      </c>
      <c r="T35" s="127" t="s">
        <v>396</v>
      </c>
      <c r="U35" s="127"/>
      <c r="V35" s="127"/>
      <c r="W35" s="127"/>
      <c r="X35" s="127"/>
      <c r="Y35" t="s">
        <v>407</v>
      </c>
      <c r="AF35" s="69"/>
      <c r="AG35" s="69"/>
      <c r="AH35" s="69"/>
      <c r="AI35" s="69"/>
      <c r="AJ35" s="69"/>
      <c r="AK35" s="69"/>
      <c r="AL35" s="69"/>
    </row>
    <row r="36" spans="1:38">
      <c r="A36" s="75">
        <v>23</v>
      </c>
      <c r="B36" s="76" t="s">
        <v>323</v>
      </c>
      <c r="C36" s="77" t="s">
        <v>131</v>
      </c>
      <c r="D36" s="76" t="s">
        <v>333</v>
      </c>
      <c r="E36" s="76" t="s">
        <v>54</v>
      </c>
      <c r="F36" s="76">
        <v>0</v>
      </c>
      <c r="G36" s="79">
        <v>643</v>
      </c>
      <c r="H36" s="85">
        <v>0.26</v>
      </c>
      <c r="I36" s="79">
        <v>18</v>
      </c>
      <c r="J36" s="79">
        <v>0.79800000000000004</v>
      </c>
      <c r="M36" s="75">
        <v>34</v>
      </c>
      <c r="N36" s="83" t="s">
        <v>334</v>
      </c>
      <c r="O36" s="77" t="s">
        <v>51</v>
      </c>
      <c r="P36" s="76" t="s">
        <v>62</v>
      </c>
      <c r="Q36" s="76" t="s">
        <v>54</v>
      </c>
      <c r="R36" s="76">
        <v>0</v>
      </c>
      <c r="T36" s="105" t="s">
        <v>39</v>
      </c>
      <c r="U36" s="106" t="s">
        <v>397</v>
      </c>
      <c r="V36" s="106" t="s">
        <v>398</v>
      </c>
      <c r="W36" s="106" t="s">
        <v>399</v>
      </c>
      <c r="X36" s="106" t="s">
        <v>11</v>
      </c>
      <c r="AF36" s="69"/>
      <c r="AG36" s="69"/>
      <c r="AH36" s="69"/>
      <c r="AI36" s="69"/>
      <c r="AJ36" s="69"/>
      <c r="AK36" s="69"/>
      <c r="AL36" s="69"/>
    </row>
    <row r="37" spans="1:38">
      <c r="A37" s="75">
        <v>24</v>
      </c>
      <c r="B37" s="76" t="s">
        <v>324</v>
      </c>
      <c r="C37" s="77" t="s">
        <v>332</v>
      </c>
      <c r="D37" s="76" t="s">
        <v>58</v>
      </c>
      <c r="E37" s="76" t="s">
        <v>54</v>
      </c>
      <c r="F37" s="76"/>
      <c r="G37" s="79">
        <v>307</v>
      </c>
      <c r="H37" s="79">
        <v>0.40100000000000002</v>
      </c>
      <c r="I37" s="79">
        <v>8</v>
      </c>
      <c r="J37" s="79">
        <v>1.052</v>
      </c>
      <c r="M37" s="75">
        <v>35</v>
      </c>
      <c r="N37" s="76" t="s">
        <v>335</v>
      </c>
      <c r="O37" s="77" t="s">
        <v>83</v>
      </c>
      <c r="P37" s="76" t="s">
        <v>62</v>
      </c>
      <c r="Q37" s="76" t="s">
        <v>54</v>
      </c>
      <c r="R37" s="76">
        <v>0</v>
      </c>
      <c r="T37" s="88" t="s">
        <v>346</v>
      </c>
      <c r="U37" s="108">
        <f>J3*(100/92)</f>
        <v>3.2282608695652173</v>
      </c>
      <c r="V37" s="108">
        <f>3.749*1.2</f>
        <v>4.4988000000000001</v>
      </c>
      <c r="W37" s="109">
        <f>(V37-U37)*(G3/9)</f>
        <v>12.874796521739132</v>
      </c>
      <c r="X37" s="108">
        <f>W37/10</f>
        <v>1.2874796521739131</v>
      </c>
      <c r="AF37" s="69"/>
      <c r="AG37" s="69"/>
      <c r="AH37" s="69"/>
      <c r="AI37" s="69"/>
      <c r="AJ37" s="69"/>
      <c r="AK37" s="69"/>
      <c r="AL37" s="69"/>
    </row>
    <row r="38" spans="1:38">
      <c r="A38" s="75">
        <v>25</v>
      </c>
      <c r="B38" s="76" t="s">
        <v>325</v>
      </c>
      <c r="C38" s="77" t="s">
        <v>121</v>
      </c>
      <c r="D38" s="76" t="s">
        <v>53</v>
      </c>
      <c r="E38" s="76" t="s">
        <v>54</v>
      </c>
      <c r="F38" s="76">
        <v>0</v>
      </c>
      <c r="G38" s="79">
        <v>518</v>
      </c>
      <c r="H38" s="79">
        <v>0.30099999999999999</v>
      </c>
      <c r="I38" s="79">
        <v>15</v>
      </c>
      <c r="J38" s="79">
        <v>0.84799999999999998</v>
      </c>
      <c r="M38" s="75">
        <v>36</v>
      </c>
      <c r="N38" s="76" t="s">
        <v>336</v>
      </c>
      <c r="O38" s="77" t="s">
        <v>101</v>
      </c>
      <c r="P38" s="76" t="s">
        <v>103</v>
      </c>
      <c r="Q38" s="76" t="s">
        <v>54</v>
      </c>
      <c r="R38" s="76">
        <v>0</v>
      </c>
      <c r="T38" s="110" t="s">
        <v>347</v>
      </c>
      <c r="U38" s="108">
        <f>J4*(100/95)</f>
        <v>3.8</v>
      </c>
      <c r="V38" s="108">
        <f t="shared" ref="V38:V47" si="0">3.749*1.2</f>
        <v>4.4988000000000001</v>
      </c>
      <c r="W38" s="109">
        <f t="shared" ref="W38:W47" si="1">(V38-U38)*(G4/9)</f>
        <v>9.2552177777777818</v>
      </c>
      <c r="X38" s="108">
        <f t="shared" ref="X38:X47" si="2">W38/10</f>
        <v>0.92552177777777822</v>
      </c>
      <c r="AF38" s="69"/>
      <c r="AG38" s="69"/>
      <c r="AH38" s="69"/>
      <c r="AI38" s="69"/>
      <c r="AJ38" s="69"/>
      <c r="AK38" s="69"/>
      <c r="AL38" s="69"/>
    </row>
    <row r="39" spans="1:38">
      <c r="A39" s="75">
        <v>26</v>
      </c>
      <c r="B39" s="76" t="s">
        <v>326</v>
      </c>
      <c r="C39" s="77" t="s">
        <v>64</v>
      </c>
      <c r="D39" s="76" t="s">
        <v>58</v>
      </c>
      <c r="E39" s="76" t="s">
        <v>54</v>
      </c>
      <c r="F39" s="76">
        <v>0</v>
      </c>
      <c r="G39" s="79">
        <v>461</v>
      </c>
      <c r="H39" s="79">
        <v>0.26700000000000002</v>
      </c>
      <c r="I39" s="79">
        <v>11</v>
      </c>
      <c r="J39" s="79">
        <v>0.81100000000000005</v>
      </c>
      <c r="M39" s="75">
        <v>37</v>
      </c>
      <c r="N39" s="76" t="s">
        <v>337</v>
      </c>
      <c r="O39" s="77" t="s">
        <v>47</v>
      </c>
      <c r="P39" s="76" t="s">
        <v>58</v>
      </c>
      <c r="Q39" s="76" t="s">
        <v>54</v>
      </c>
      <c r="R39" s="76">
        <v>0</v>
      </c>
      <c r="T39" s="110" t="s">
        <v>348</v>
      </c>
      <c r="U39" s="108">
        <f>J5*(100/117)</f>
        <v>1.7350427350427349</v>
      </c>
      <c r="V39" s="108">
        <f t="shared" si="0"/>
        <v>4.4988000000000001</v>
      </c>
      <c r="W39" s="109">
        <f t="shared" si="1"/>
        <v>27.054112782526115</v>
      </c>
      <c r="X39" s="108">
        <f t="shared" si="2"/>
        <v>2.7054112782526114</v>
      </c>
      <c r="AF39" s="69"/>
      <c r="AG39" s="69"/>
      <c r="AH39" s="69"/>
      <c r="AI39" s="69"/>
      <c r="AJ39" s="69"/>
      <c r="AK39" s="69"/>
      <c r="AL39" s="69"/>
    </row>
    <row r="40" spans="1:38">
      <c r="A40" s="75">
        <v>27</v>
      </c>
      <c r="B40" s="76" t="s">
        <v>327</v>
      </c>
      <c r="C40" s="77" t="s">
        <v>60</v>
      </c>
      <c r="D40" s="76" t="s">
        <v>58</v>
      </c>
      <c r="E40" s="76" t="s">
        <v>54</v>
      </c>
      <c r="F40" s="76">
        <v>0</v>
      </c>
      <c r="G40" s="79">
        <v>365</v>
      </c>
      <c r="H40" s="85">
        <v>0.28999999999999998</v>
      </c>
      <c r="I40" s="79">
        <v>6</v>
      </c>
      <c r="J40" s="79">
        <v>0.83799999999999997</v>
      </c>
      <c r="L40" s="71"/>
      <c r="M40" s="75">
        <v>38</v>
      </c>
      <c r="N40" s="83" t="s">
        <v>338</v>
      </c>
      <c r="O40" s="77" t="s">
        <v>60</v>
      </c>
      <c r="P40" s="76" t="s">
        <v>58</v>
      </c>
      <c r="Q40" s="76" t="s">
        <v>54</v>
      </c>
      <c r="R40" s="76">
        <v>0</v>
      </c>
      <c r="S40" s="69"/>
      <c r="T40" s="110" t="s">
        <v>349</v>
      </c>
      <c r="U40" s="108">
        <f>J6*(100/115)</f>
        <v>2.2521739130434781</v>
      </c>
      <c r="V40" s="108">
        <f t="shared" si="0"/>
        <v>4.4988000000000001</v>
      </c>
      <c r="W40" s="109">
        <f t="shared" si="1"/>
        <v>29.455764251207732</v>
      </c>
      <c r="X40" s="108">
        <f t="shared" si="2"/>
        <v>2.9455764251207732</v>
      </c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</row>
    <row r="41" spans="1:38">
      <c r="A41" s="75">
        <v>28</v>
      </c>
      <c r="B41" s="76" t="s">
        <v>328</v>
      </c>
      <c r="C41" s="77" t="s">
        <v>81</v>
      </c>
      <c r="D41" s="76" t="s">
        <v>58</v>
      </c>
      <c r="E41" s="76" t="s">
        <v>54</v>
      </c>
      <c r="F41" s="76">
        <v>0</v>
      </c>
      <c r="G41" s="79">
        <v>299</v>
      </c>
      <c r="H41" s="79">
        <v>0.23699999999999999</v>
      </c>
      <c r="I41" s="79">
        <v>11</v>
      </c>
      <c r="J41" s="79">
        <v>0.80200000000000005</v>
      </c>
      <c r="L41" s="71"/>
      <c r="M41" s="75">
        <v>39</v>
      </c>
      <c r="N41" s="76" t="s">
        <v>339</v>
      </c>
      <c r="O41" s="77" t="s">
        <v>108</v>
      </c>
      <c r="P41" s="76" t="s">
        <v>53</v>
      </c>
      <c r="Q41" s="76" t="s">
        <v>54</v>
      </c>
      <c r="R41" s="76">
        <v>0</v>
      </c>
      <c r="S41" s="69"/>
      <c r="T41" s="111" t="s">
        <v>357</v>
      </c>
      <c r="U41" s="108">
        <f t="shared" ref="U41" si="3">J7*(100/92)</f>
        <v>0</v>
      </c>
      <c r="V41" s="108">
        <f t="shared" si="0"/>
        <v>4.4988000000000001</v>
      </c>
      <c r="W41" s="109">
        <f t="shared" si="1"/>
        <v>0</v>
      </c>
      <c r="X41" s="108">
        <f t="shared" si="2"/>
        <v>0</v>
      </c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</row>
    <row r="42" spans="1:38">
      <c r="A42" s="75">
        <v>29</v>
      </c>
      <c r="B42" s="76" t="s">
        <v>329</v>
      </c>
      <c r="C42" s="77" t="s">
        <v>56</v>
      </c>
      <c r="D42" s="76" t="s">
        <v>62</v>
      </c>
      <c r="E42" s="76" t="s">
        <v>54</v>
      </c>
      <c r="F42" s="76">
        <v>0</v>
      </c>
      <c r="G42" s="79">
        <v>773</v>
      </c>
      <c r="H42" s="85">
        <v>0.25</v>
      </c>
      <c r="I42" s="79">
        <v>44</v>
      </c>
      <c r="J42" s="79">
        <v>0.93200000000000005</v>
      </c>
      <c r="L42" s="71"/>
      <c r="M42" s="94">
        <v>40</v>
      </c>
      <c r="N42" s="88" t="s">
        <v>352</v>
      </c>
      <c r="O42" s="88" t="s">
        <v>73</v>
      </c>
      <c r="P42" s="88" t="s">
        <v>45</v>
      </c>
      <c r="Q42" s="88" t="s">
        <v>39</v>
      </c>
      <c r="R42" s="91">
        <f>X45</f>
        <v>1.6657161509433958</v>
      </c>
      <c r="S42" s="69"/>
      <c r="T42" s="110" t="s">
        <v>350</v>
      </c>
      <c r="U42" s="108">
        <f>J8*(100/117)</f>
        <v>3.0085470085470085</v>
      </c>
      <c r="V42" s="108">
        <f t="shared" si="0"/>
        <v>4.4988000000000001</v>
      </c>
      <c r="W42" s="109">
        <f t="shared" si="1"/>
        <v>1.1922023931623933</v>
      </c>
      <c r="X42" s="108">
        <f t="shared" si="2"/>
        <v>0.11922023931623933</v>
      </c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</row>
    <row r="43" spans="1:38">
      <c r="A43" s="75">
        <v>31</v>
      </c>
      <c r="B43" s="76" t="s">
        <v>330</v>
      </c>
      <c r="C43" s="77" t="s">
        <v>111</v>
      </c>
      <c r="D43" s="76" t="s">
        <v>58</v>
      </c>
      <c r="E43" s="76" t="s">
        <v>54</v>
      </c>
      <c r="F43" s="76">
        <v>0</v>
      </c>
      <c r="G43" s="79">
        <v>345</v>
      </c>
      <c r="H43" s="85">
        <v>0.31</v>
      </c>
      <c r="I43" s="79">
        <v>6</v>
      </c>
      <c r="J43" s="79">
        <v>0.85499999999999998</v>
      </c>
      <c r="L43" s="71"/>
      <c r="M43" s="75">
        <v>41</v>
      </c>
      <c r="N43" s="76" t="s">
        <v>340</v>
      </c>
      <c r="O43" s="77" t="s">
        <v>316</v>
      </c>
      <c r="P43" s="76" t="s">
        <v>62</v>
      </c>
      <c r="Q43" s="76" t="s">
        <v>54</v>
      </c>
      <c r="R43" s="76">
        <v>0</v>
      </c>
      <c r="S43" s="69"/>
      <c r="T43" s="97" t="s">
        <v>358</v>
      </c>
      <c r="U43" s="108">
        <f>J9*(100/98)</f>
        <v>1.5102040816326532</v>
      </c>
      <c r="V43" s="108">
        <f t="shared" si="0"/>
        <v>4.4988000000000001</v>
      </c>
      <c r="W43" s="109">
        <f t="shared" si="1"/>
        <v>36.261630476190476</v>
      </c>
      <c r="X43" s="108">
        <f t="shared" si="2"/>
        <v>3.6261630476190474</v>
      </c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</row>
    <row r="44" spans="1:38">
      <c r="A44" s="75">
        <v>34</v>
      </c>
      <c r="B44" s="83" t="s">
        <v>334</v>
      </c>
      <c r="C44" s="77" t="s">
        <v>51</v>
      </c>
      <c r="D44" s="76" t="s">
        <v>62</v>
      </c>
      <c r="E44" s="76" t="s">
        <v>54</v>
      </c>
      <c r="F44" s="76">
        <v>0</v>
      </c>
      <c r="G44" s="79">
        <v>1471</v>
      </c>
      <c r="H44" s="79">
        <v>0.27800000000000002</v>
      </c>
      <c r="I44" s="79">
        <v>59</v>
      </c>
      <c r="J44" s="79">
        <v>0.85299999999999998</v>
      </c>
      <c r="L44" s="69"/>
      <c r="M44" s="94">
        <v>42</v>
      </c>
      <c r="N44" s="88" t="s">
        <v>353</v>
      </c>
      <c r="O44" s="88" t="s">
        <v>51</v>
      </c>
      <c r="P44" s="88" t="s">
        <v>45</v>
      </c>
      <c r="Q44" s="88" t="s">
        <v>39</v>
      </c>
      <c r="R44" s="91">
        <f>X46</f>
        <v>0.52286216501650173</v>
      </c>
      <c r="S44" s="69"/>
      <c r="T44" s="88" t="s">
        <v>351</v>
      </c>
      <c r="U44" s="108">
        <f>J10*(100/93)</f>
        <v>3.913978494623656</v>
      </c>
      <c r="V44" s="108">
        <f t="shared" si="0"/>
        <v>4.4988000000000001</v>
      </c>
      <c r="W44" s="109">
        <f t="shared" si="1"/>
        <v>7.0763402150537651</v>
      </c>
      <c r="X44" s="108">
        <f t="shared" si="2"/>
        <v>0.70763402150537646</v>
      </c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</row>
    <row r="45" spans="1:38">
      <c r="A45" s="75">
        <v>35</v>
      </c>
      <c r="B45" s="76" t="s">
        <v>335</v>
      </c>
      <c r="C45" s="77" t="s">
        <v>83</v>
      </c>
      <c r="D45" s="76" t="s">
        <v>62</v>
      </c>
      <c r="E45" s="76" t="s">
        <v>54</v>
      </c>
      <c r="F45" s="76">
        <v>0</v>
      </c>
      <c r="G45" s="79">
        <v>555</v>
      </c>
      <c r="H45" s="79">
        <v>0.29199999999999998</v>
      </c>
      <c r="I45" s="79">
        <v>29</v>
      </c>
      <c r="J45" s="79">
        <v>0.89300000000000002</v>
      </c>
      <c r="L45" s="69"/>
      <c r="M45" s="95">
        <v>43</v>
      </c>
      <c r="N45" s="90" t="s">
        <v>360</v>
      </c>
      <c r="O45" s="90" t="s">
        <v>78</v>
      </c>
      <c r="P45" s="90" t="s">
        <v>53</v>
      </c>
      <c r="Q45" s="90" t="s">
        <v>54</v>
      </c>
      <c r="R45" s="90">
        <v>0</v>
      </c>
      <c r="S45" s="69"/>
      <c r="T45" s="110" t="s">
        <v>352</v>
      </c>
      <c r="U45" s="108">
        <f>J11*(100/106)</f>
        <v>3.2075471698113209</v>
      </c>
      <c r="V45" s="108">
        <f t="shared" si="0"/>
        <v>4.4988000000000001</v>
      </c>
      <c r="W45" s="109">
        <f t="shared" si="1"/>
        <v>16.657161509433958</v>
      </c>
      <c r="X45" s="108">
        <f t="shared" si="2"/>
        <v>1.6657161509433958</v>
      </c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</row>
    <row r="46" spans="1:38">
      <c r="A46" s="75">
        <v>36</v>
      </c>
      <c r="B46" s="76" t="s">
        <v>336</v>
      </c>
      <c r="C46" s="77" t="s">
        <v>101</v>
      </c>
      <c r="D46" s="76" t="s">
        <v>103</v>
      </c>
      <c r="E46" s="76" t="s">
        <v>54</v>
      </c>
      <c r="F46" s="76">
        <v>0</v>
      </c>
      <c r="G46" s="79">
        <v>747</v>
      </c>
      <c r="H46" s="79">
        <v>0.27300000000000002</v>
      </c>
      <c r="I46" s="79">
        <v>37</v>
      </c>
      <c r="J46" s="79">
        <v>0.877</v>
      </c>
      <c r="L46" s="69"/>
      <c r="M46" s="75">
        <v>44</v>
      </c>
      <c r="N46" s="76" t="s">
        <v>341</v>
      </c>
      <c r="O46" s="77" t="s">
        <v>51</v>
      </c>
      <c r="P46" s="76" t="s">
        <v>103</v>
      </c>
      <c r="Q46" s="76" t="s">
        <v>54</v>
      </c>
      <c r="R46" s="76">
        <v>0</v>
      </c>
      <c r="S46" s="69"/>
      <c r="T46" s="110" t="s">
        <v>353</v>
      </c>
      <c r="U46" s="108">
        <f>J12*(100/101)</f>
        <v>3.1188118811881189</v>
      </c>
      <c r="V46" s="108">
        <f t="shared" si="0"/>
        <v>4.4988000000000001</v>
      </c>
      <c r="W46" s="109">
        <f t="shared" si="1"/>
        <v>5.2286216501650173</v>
      </c>
      <c r="X46" s="108">
        <f t="shared" si="2"/>
        <v>0.52286216501650173</v>
      </c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</row>
    <row r="47" spans="1:38">
      <c r="A47" s="75">
        <v>37</v>
      </c>
      <c r="B47" s="76" t="s">
        <v>337</v>
      </c>
      <c r="C47" s="77" t="s">
        <v>47</v>
      </c>
      <c r="D47" s="76" t="s">
        <v>58</v>
      </c>
      <c r="E47" s="76" t="s">
        <v>54</v>
      </c>
      <c r="F47" s="76">
        <v>0</v>
      </c>
      <c r="G47" s="79">
        <v>1152</v>
      </c>
      <c r="H47" s="79">
        <v>0.253</v>
      </c>
      <c r="I47" s="79">
        <v>37</v>
      </c>
      <c r="J47" s="85">
        <v>0.79</v>
      </c>
      <c r="L47" s="69"/>
      <c r="M47" s="75">
        <v>45</v>
      </c>
      <c r="N47" s="76" t="s">
        <v>342</v>
      </c>
      <c r="O47" s="77" t="s">
        <v>332</v>
      </c>
      <c r="P47" s="76" t="s">
        <v>103</v>
      </c>
      <c r="Q47" s="76" t="s">
        <v>54</v>
      </c>
      <c r="R47" s="76">
        <v>0</v>
      </c>
      <c r="S47" s="69"/>
      <c r="T47" s="88" t="s">
        <v>354</v>
      </c>
      <c r="U47" s="108">
        <f>J13*(100/93)</f>
        <v>3.182795698924731</v>
      </c>
      <c r="V47" s="108">
        <f t="shared" si="0"/>
        <v>4.4988000000000001</v>
      </c>
      <c r="W47" s="109">
        <f t="shared" si="1"/>
        <v>14.037379211469537</v>
      </c>
      <c r="X47" s="108">
        <f t="shared" si="2"/>
        <v>1.4037379211469536</v>
      </c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</row>
    <row r="48" spans="1:38">
      <c r="A48" s="75">
        <v>38</v>
      </c>
      <c r="B48" s="83" t="s">
        <v>338</v>
      </c>
      <c r="C48" s="77" t="s">
        <v>60</v>
      </c>
      <c r="D48" s="76" t="s">
        <v>58</v>
      </c>
      <c r="E48" s="76" t="s">
        <v>54</v>
      </c>
      <c r="F48" s="76">
        <v>0</v>
      </c>
      <c r="G48" s="79">
        <v>1024</v>
      </c>
      <c r="H48" s="79">
        <v>0.27900000000000003</v>
      </c>
      <c r="I48" s="79">
        <v>22</v>
      </c>
      <c r="J48" s="79">
        <v>0.81299999999999994</v>
      </c>
      <c r="L48" s="69"/>
      <c r="M48" s="94">
        <v>46</v>
      </c>
      <c r="N48" s="88" t="s">
        <v>354</v>
      </c>
      <c r="O48" s="88" t="s">
        <v>42</v>
      </c>
      <c r="P48" s="88" t="s">
        <v>38</v>
      </c>
      <c r="Q48" s="88" t="s">
        <v>39</v>
      </c>
      <c r="R48" s="91">
        <f>X47</f>
        <v>1.4037379211469536</v>
      </c>
      <c r="S48" s="69"/>
      <c r="T48" s="38"/>
      <c r="U48" s="112"/>
      <c r="V48" s="31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</row>
    <row r="49" spans="1:38">
      <c r="A49" s="75">
        <v>39</v>
      </c>
      <c r="B49" s="76" t="s">
        <v>339</v>
      </c>
      <c r="C49" s="77" t="s">
        <v>108</v>
      </c>
      <c r="D49" s="76" t="s">
        <v>53</v>
      </c>
      <c r="E49" s="76" t="s">
        <v>54</v>
      </c>
      <c r="F49" s="76">
        <v>0</v>
      </c>
      <c r="G49" s="79">
        <v>814</v>
      </c>
      <c r="H49" s="79">
        <v>0.27300000000000002</v>
      </c>
      <c r="I49" s="79">
        <v>49</v>
      </c>
      <c r="J49" s="85">
        <v>0.93</v>
      </c>
      <c r="L49" s="69"/>
      <c r="M49" s="75">
        <v>47</v>
      </c>
      <c r="N49" s="76" t="s">
        <v>343</v>
      </c>
      <c r="O49" s="77" t="s">
        <v>60</v>
      </c>
      <c r="P49" s="79" t="s">
        <v>62</v>
      </c>
      <c r="Q49" s="76" t="s">
        <v>54</v>
      </c>
      <c r="R49" s="76">
        <v>0</v>
      </c>
      <c r="S49" s="69"/>
      <c r="T49" s="38"/>
      <c r="U49" s="112"/>
      <c r="V49" s="31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</row>
    <row r="50" spans="1:38">
      <c r="A50" s="75">
        <v>41</v>
      </c>
      <c r="B50" s="76" t="s">
        <v>340</v>
      </c>
      <c r="C50" s="77" t="s">
        <v>316</v>
      </c>
      <c r="D50" s="76" t="s">
        <v>62</v>
      </c>
      <c r="E50" s="76" t="s">
        <v>54</v>
      </c>
      <c r="F50" s="76">
        <v>0</v>
      </c>
      <c r="G50" s="79">
        <v>356</v>
      </c>
      <c r="H50" s="79">
        <v>0.317</v>
      </c>
      <c r="I50" s="79">
        <v>13</v>
      </c>
      <c r="J50" s="79">
        <v>0.90400000000000003</v>
      </c>
      <c r="L50" s="69"/>
      <c r="M50" s="75">
        <v>48</v>
      </c>
      <c r="N50" s="83" t="s">
        <v>344</v>
      </c>
      <c r="O50" s="79" t="s">
        <v>108</v>
      </c>
      <c r="P50" s="76" t="s">
        <v>62</v>
      </c>
      <c r="Q50" s="76" t="s">
        <v>54</v>
      </c>
      <c r="R50" s="76">
        <v>0</v>
      </c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</row>
    <row r="51" spans="1:38">
      <c r="A51" s="95">
        <v>43</v>
      </c>
      <c r="B51" s="90" t="s">
        <v>360</v>
      </c>
      <c r="C51" s="90" t="s">
        <v>78</v>
      </c>
      <c r="D51" s="90" t="s">
        <v>53</v>
      </c>
      <c r="E51" s="90" t="s">
        <v>54</v>
      </c>
      <c r="F51" s="90">
        <v>0</v>
      </c>
      <c r="G51" s="90">
        <v>771</v>
      </c>
      <c r="H51" s="90">
        <v>0.27800000000000002</v>
      </c>
      <c r="I51" s="90">
        <v>28</v>
      </c>
      <c r="J51" s="90">
        <v>0.79500000000000004</v>
      </c>
      <c r="L51" s="69"/>
      <c r="M51" s="75">
        <v>49</v>
      </c>
      <c r="N51" s="76" t="s">
        <v>345</v>
      </c>
      <c r="O51" s="79" t="s">
        <v>60</v>
      </c>
      <c r="P51" s="76" t="s">
        <v>53</v>
      </c>
      <c r="Q51" s="76" t="s">
        <v>54</v>
      </c>
      <c r="R51" s="76">
        <v>0</v>
      </c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</row>
    <row r="52" spans="1:38">
      <c r="A52" s="75">
        <v>44</v>
      </c>
      <c r="B52" s="76" t="s">
        <v>341</v>
      </c>
      <c r="C52" s="77" t="s">
        <v>51</v>
      </c>
      <c r="D52" s="76" t="s">
        <v>103</v>
      </c>
      <c r="E52" s="76" t="s">
        <v>54</v>
      </c>
      <c r="F52" s="76">
        <v>0</v>
      </c>
      <c r="G52" s="79">
        <v>1235</v>
      </c>
      <c r="H52" s="79">
        <v>0.27900000000000003</v>
      </c>
      <c r="I52" s="79">
        <v>46</v>
      </c>
      <c r="J52" s="79">
        <v>0.81799999999999995</v>
      </c>
      <c r="L52" s="69"/>
      <c r="M52" s="95">
        <v>50</v>
      </c>
      <c r="N52" s="78" t="s">
        <v>361</v>
      </c>
      <c r="O52" s="78" t="s">
        <v>114</v>
      </c>
      <c r="P52" s="78" t="s">
        <v>362</v>
      </c>
      <c r="Q52" s="76" t="s">
        <v>54</v>
      </c>
      <c r="R52" s="76">
        <v>0</v>
      </c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</row>
    <row r="53" spans="1:38">
      <c r="A53" s="75">
        <v>45</v>
      </c>
      <c r="B53" s="76" t="s">
        <v>342</v>
      </c>
      <c r="C53" s="77" t="s">
        <v>332</v>
      </c>
      <c r="D53" s="76" t="s">
        <v>103</v>
      </c>
      <c r="E53" s="76" t="s">
        <v>54</v>
      </c>
      <c r="F53" s="76">
        <v>0</v>
      </c>
      <c r="G53" s="79">
        <v>38</v>
      </c>
      <c r="H53" s="79">
        <v>0.36799999999999999</v>
      </c>
      <c r="I53" s="79">
        <v>4</v>
      </c>
      <c r="J53" s="79">
        <v>1.2829999999999999</v>
      </c>
      <c r="L53" s="69"/>
      <c r="M53" s="70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</row>
    <row r="54" spans="1:38">
      <c r="A54" s="75">
        <v>47</v>
      </c>
      <c r="B54" s="76" t="s">
        <v>343</v>
      </c>
      <c r="C54" s="77" t="s">
        <v>60</v>
      </c>
      <c r="D54" s="79" t="s">
        <v>62</v>
      </c>
      <c r="E54" s="76" t="s">
        <v>54</v>
      </c>
      <c r="F54" s="76">
        <v>0</v>
      </c>
      <c r="G54" s="79">
        <v>865</v>
      </c>
      <c r="H54" s="79">
        <v>0.29099999999999998</v>
      </c>
      <c r="I54" s="79">
        <v>44</v>
      </c>
      <c r="J54" s="85">
        <v>0.94</v>
      </c>
      <c r="L54" s="69"/>
      <c r="M54" s="70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</row>
    <row r="55" spans="1:38">
      <c r="A55" s="75">
        <v>48</v>
      </c>
      <c r="B55" s="83" t="s">
        <v>344</v>
      </c>
      <c r="C55" s="79" t="s">
        <v>108</v>
      </c>
      <c r="D55" s="76" t="s">
        <v>62</v>
      </c>
      <c r="E55" s="76" t="s">
        <v>54</v>
      </c>
      <c r="F55" s="76">
        <v>0</v>
      </c>
      <c r="G55" s="79">
        <v>853</v>
      </c>
      <c r="H55" s="79">
        <v>0.29099999999999998</v>
      </c>
      <c r="I55" s="79">
        <v>17</v>
      </c>
      <c r="J55" s="79">
        <v>0.83099999999999996</v>
      </c>
      <c r="L55" s="69"/>
      <c r="M55" s="70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</row>
    <row r="56" spans="1:38">
      <c r="A56" s="75">
        <v>49</v>
      </c>
      <c r="B56" s="76" t="s">
        <v>345</v>
      </c>
      <c r="C56" s="79" t="s">
        <v>60</v>
      </c>
      <c r="D56" s="76" t="s">
        <v>53</v>
      </c>
      <c r="E56" s="76" t="s">
        <v>54</v>
      </c>
      <c r="F56" s="76">
        <v>0</v>
      </c>
      <c r="G56" s="79">
        <v>1319</v>
      </c>
      <c r="H56" s="79">
        <v>0.26100000000000001</v>
      </c>
      <c r="I56" s="79">
        <v>36</v>
      </c>
      <c r="J56" s="79">
        <v>0.82199999999999995</v>
      </c>
      <c r="L56" s="69"/>
      <c r="M56" s="70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</row>
    <row r="57" spans="1:38">
      <c r="A57" s="95">
        <v>50</v>
      </c>
      <c r="B57" s="78" t="s">
        <v>361</v>
      </c>
      <c r="C57" s="78" t="s">
        <v>114</v>
      </c>
      <c r="D57" s="78" t="s">
        <v>362</v>
      </c>
      <c r="E57" s="76" t="s">
        <v>54</v>
      </c>
      <c r="F57" s="76">
        <v>0</v>
      </c>
      <c r="G57" s="78">
        <v>0</v>
      </c>
      <c r="H57" s="78">
        <v>0</v>
      </c>
      <c r="I57" s="78">
        <v>0</v>
      </c>
      <c r="J57" s="78">
        <v>0</v>
      </c>
      <c r="L57" s="69"/>
      <c r="M57" s="70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</row>
    <row r="58" spans="1:38">
      <c r="L58" s="69"/>
      <c r="M58" s="70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</row>
    <row r="59" spans="1:38">
      <c r="L59" s="69"/>
      <c r="M59" s="70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</row>
    <row r="60" spans="1:38">
      <c r="L60" s="69"/>
      <c r="M60" s="70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</row>
    <row r="61" spans="1:38" ht="22">
      <c r="A61" s="127" t="s">
        <v>400</v>
      </c>
      <c r="B61" s="127"/>
      <c r="C61" s="127"/>
      <c r="D61" s="127"/>
      <c r="E61" s="127"/>
      <c r="G61" s="115" t="s">
        <v>402</v>
      </c>
      <c r="L61" s="69"/>
      <c r="M61" s="70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</row>
    <row r="62" spans="1:38">
      <c r="A62" s="106" t="s">
        <v>401</v>
      </c>
      <c r="B62" s="106" t="s">
        <v>404</v>
      </c>
      <c r="C62" s="106" t="s">
        <v>405</v>
      </c>
      <c r="D62" s="106" t="s">
        <v>406</v>
      </c>
      <c r="E62" s="106" t="s">
        <v>11</v>
      </c>
      <c r="G62" t="s">
        <v>403</v>
      </c>
      <c r="L62" s="69"/>
      <c r="M62" s="70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</row>
    <row r="63" spans="1:38">
      <c r="A63" s="76" t="s">
        <v>301</v>
      </c>
      <c r="B63" s="107">
        <f>J19/0.99</f>
        <v>0.81414141414141417</v>
      </c>
      <c r="C63" s="108">
        <f>((B63-0.735)/1.15)*G19</f>
        <v>36.749143610013199</v>
      </c>
      <c r="D63" s="108">
        <f>(20/600)*G19</f>
        <v>17.8</v>
      </c>
      <c r="E63" s="109">
        <f>(C63+D63)/10</f>
        <v>5.45491436100132</v>
      </c>
      <c r="G63" t="s">
        <v>408</v>
      </c>
      <c r="L63" s="69"/>
      <c r="M63" s="70"/>
    </row>
    <row r="64" spans="1:38">
      <c r="A64" s="76" t="s">
        <v>302</v>
      </c>
      <c r="B64" s="107">
        <f>J20/1.22</f>
        <v>0.71557377049180326</v>
      </c>
      <c r="C64" s="108">
        <f t="shared" ref="C64:C74" si="4">((B64-0.735)/1.15)*G20</f>
        <v>-6.9258731290092674</v>
      </c>
      <c r="D64" s="108">
        <f t="shared" ref="D64:D74" si="5">(20/600)*G20</f>
        <v>13.666666666666666</v>
      </c>
      <c r="E64" s="109">
        <f t="shared" ref="E64:E74" si="6">(C64+D64)/10</f>
        <v>0.67407935376573991</v>
      </c>
      <c r="G64" s="116" t="s">
        <v>409</v>
      </c>
    </row>
    <row r="65" spans="1:8">
      <c r="A65" s="76" t="s">
        <v>303</v>
      </c>
      <c r="B65" s="107">
        <f>J21/1.03</f>
        <v>0.84563106796116505</v>
      </c>
      <c r="C65" s="108">
        <f t="shared" si="4"/>
        <v>88.793457154917704</v>
      </c>
      <c r="D65" s="108">
        <f t="shared" si="5"/>
        <v>30.766666666666666</v>
      </c>
      <c r="E65" s="109">
        <f t="shared" si="6"/>
        <v>11.956012382158438</v>
      </c>
    </row>
    <row r="66" spans="1:8">
      <c r="A66" s="76" t="s">
        <v>305</v>
      </c>
      <c r="B66" s="107">
        <f>J22/1.1</f>
        <v>0.75545454545454538</v>
      </c>
      <c r="C66" s="108">
        <f t="shared" si="4"/>
        <v>24.171936758893207</v>
      </c>
      <c r="D66" s="108">
        <f t="shared" si="5"/>
        <v>45.3</v>
      </c>
      <c r="E66" s="109">
        <f t="shared" si="6"/>
        <v>6.9471936758893209</v>
      </c>
    </row>
    <row r="67" spans="1:8">
      <c r="A67" s="76" t="s">
        <v>306</v>
      </c>
      <c r="B67" s="107">
        <f>J23/0.92</f>
        <v>0.85652173913043483</v>
      </c>
      <c r="C67" s="108">
        <f t="shared" si="4"/>
        <v>53.363894139886611</v>
      </c>
      <c r="D67" s="108">
        <f t="shared" si="5"/>
        <v>16.833333333333332</v>
      </c>
      <c r="E67" s="109">
        <f t="shared" si="6"/>
        <v>7.0197227473219943</v>
      </c>
      <c r="G67" s="117"/>
      <c r="H67" s="118"/>
    </row>
    <row r="68" spans="1:8">
      <c r="A68" s="76" t="s">
        <v>307</v>
      </c>
      <c r="B68" s="107">
        <f>J24/1.03</f>
        <v>0.80291262135922326</v>
      </c>
      <c r="C68" s="108">
        <f>((B68-0.735)/1.15)*G24</f>
        <v>62.302448290417871</v>
      </c>
      <c r="D68" s="108">
        <f>(20/600)*G24</f>
        <v>35.166666666666664</v>
      </c>
      <c r="E68" s="109">
        <f>(C68+D68)/10</f>
        <v>9.7469114957084546</v>
      </c>
      <c r="G68" s="117"/>
      <c r="H68" s="119"/>
    </row>
    <row r="69" spans="1:8">
      <c r="A69" s="76" t="s">
        <v>308</v>
      </c>
      <c r="B69" s="107">
        <f>J25/0.97</f>
        <v>0.95051546391752584</v>
      </c>
      <c r="C69" s="108">
        <f t="shared" si="4"/>
        <v>268.36360376512789</v>
      </c>
      <c r="D69" s="108">
        <f t="shared" si="5"/>
        <v>47.733333333333334</v>
      </c>
      <c r="E69" s="109">
        <f t="shared" si="6"/>
        <v>31.609693709846123</v>
      </c>
      <c r="G69" s="117"/>
      <c r="H69" s="119"/>
    </row>
    <row r="70" spans="1:8">
      <c r="A70" s="76" t="s">
        <v>309</v>
      </c>
      <c r="B70" s="107">
        <f>J26/0.87</f>
        <v>1.0264367816091955</v>
      </c>
      <c r="C70" s="108">
        <f t="shared" si="4"/>
        <v>227.06726636681668</v>
      </c>
      <c r="D70" s="108">
        <f t="shared" si="5"/>
        <v>29.866666666666667</v>
      </c>
      <c r="E70" s="109">
        <f t="shared" si="6"/>
        <v>25.693393303348337</v>
      </c>
      <c r="G70" s="117"/>
      <c r="H70" s="119"/>
    </row>
    <row r="71" spans="1:8">
      <c r="A71" s="76" t="s">
        <v>310</v>
      </c>
      <c r="B71" s="107">
        <f>J27/1.03</f>
        <v>0.95631067961165039</v>
      </c>
      <c r="C71" s="108">
        <f t="shared" si="4"/>
        <v>95.837146475306014</v>
      </c>
      <c r="D71" s="108">
        <f t="shared" si="5"/>
        <v>16.600000000000001</v>
      </c>
      <c r="E71" s="109">
        <f t="shared" si="6"/>
        <v>11.2437146475306</v>
      </c>
      <c r="G71" s="117"/>
      <c r="H71" s="119"/>
    </row>
    <row r="72" spans="1:8">
      <c r="A72" s="76" t="s">
        <v>311</v>
      </c>
      <c r="B72" s="107">
        <f>J28/1.15</f>
        <v>0.45043478260869568</v>
      </c>
      <c r="C72" s="108">
        <f>((B72-0.735)/1.15)*G28</f>
        <v>-24.744801512287331</v>
      </c>
      <c r="D72" s="108">
        <f t="shared" si="5"/>
        <v>3.3333333333333335</v>
      </c>
      <c r="E72" s="109">
        <f t="shared" si="6"/>
        <v>-2.1411468178953998</v>
      </c>
      <c r="G72" s="117"/>
      <c r="H72" s="119"/>
    </row>
    <row r="73" spans="1:8">
      <c r="A73" s="76" t="s">
        <v>312</v>
      </c>
      <c r="B73" s="107">
        <f>J29/0.95</f>
        <v>0.8052631578947369</v>
      </c>
      <c r="C73" s="108">
        <f t="shared" si="4"/>
        <v>6.1709382151029821</v>
      </c>
      <c r="D73" s="108">
        <f t="shared" si="5"/>
        <v>3.3666666666666667</v>
      </c>
      <c r="E73" s="109">
        <f>(C73+D73)/10</f>
        <v>0.9537604881769649</v>
      </c>
      <c r="G73" s="117"/>
      <c r="H73" s="119"/>
    </row>
    <row r="74" spans="1:8">
      <c r="A74" s="76" t="s">
        <v>313</v>
      </c>
      <c r="B74" s="107">
        <f>J30/0.97</f>
        <v>0.86701030927835054</v>
      </c>
      <c r="C74" s="108">
        <f t="shared" si="4"/>
        <v>136.60197220977147</v>
      </c>
      <c r="D74" s="108">
        <f t="shared" si="5"/>
        <v>39.666666666666664</v>
      </c>
      <c r="E74" s="109">
        <f t="shared" si="6"/>
        <v>17.626863887643815</v>
      </c>
      <c r="G74" s="117"/>
      <c r="H74" s="119"/>
    </row>
    <row r="75" spans="1:8">
      <c r="A75" s="76" t="s">
        <v>317</v>
      </c>
      <c r="B75" s="107">
        <f>J31/0.98</f>
        <v>0.83367346938775511</v>
      </c>
      <c r="C75" s="108">
        <f t="shared" ref="C75:C101" si="7">((B75-0.735)/1.15)*G31</f>
        <v>114.89023957409053</v>
      </c>
      <c r="D75" s="108">
        <f t="shared" ref="D75:D101" si="8">(20/600)*G31</f>
        <v>44.633333333333333</v>
      </c>
      <c r="E75" s="109">
        <f t="shared" ref="E75:E101" si="9">(C75+D75)/10</f>
        <v>15.952357290742388</v>
      </c>
      <c r="G75" s="117"/>
      <c r="H75" s="119"/>
    </row>
    <row r="76" spans="1:8">
      <c r="A76" s="76" t="s">
        <v>318</v>
      </c>
      <c r="B76" s="107">
        <f>J32/1.1</f>
        <v>0.6272727272727272</v>
      </c>
      <c r="C76" s="108">
        <f t="shared" si="7"/>
        <v>-10.866403162055342</v>
      </c>
      <c r="D76" s="108">
        <f t="shared" si="8"/>
        <v>3.8666666666666667</v>
      </c>
      <c r="E76" s="109">
        <f t="shared" si="9"/>
        <v>-0.69997364953886743</v>
      </c>
      <c r="G76" s="117"/>
      <c r="H76" s="119"/>
    </row>
    <row r="77" spans="1:8">
      <c r="A77" s="76" t="s">
        <v>319</v>
      </c>
      <c r="B77" s="107">
        <f>J33/0.96</f>
        <v>0.83854166666666674</v>
      </c>
      <c r="C77" s="108">
        <f t="shared" si="7"/>
        <v>9.4538043478260967</v>
      </c>
      <c r="D77" s="108">
        <f t="shared" si="8"/>
        <v>3.5</v>
      </c>
      <c r="E77" s="109">
        <f t="shared" si="9"/>
        <v>1.2953804347826097</v>
      </c>
      <c r="G77" s="117"/>
      <c r="H77" s="119"/>
    </row>
    <row r="78" spans="1:8">
      <c r="A78" s="76" t="s">
        <v>320</v>
      </c>
      <c r="B78" s="107">
        <f>J34/1</f>
        <v>0.65700000000000003</v>
      </c>
      <c r="C78" s="108">
        <f t="shared" si="7"/>
        <v>-45.172173913043451</v>
      </c>
      <c r="D78" s="108">
        <f t="shared" si="8"/>
        <v>22.2</v>
      </c>
      <c r="E78" s="109">
        <f t="shared" si="9"/>
        <v>-2.2972173913043452</v>
      </c>
      <c r="G78" s="117"/>
      <c r="H78" s="119"/>
    </row>
    <row r="79" spans="1:8">
      <c r="A79" s="76" t="s">
        <v>331</v>
      </c>
      <c r="B79" s="107">
        <f>J35/1.01</f>
        <v>0.89702970297029705</v>
      </c>
      <c r="C79" s="108">
        <f t="shared" si="7"/>
        <v>84.537236332328902</v>
      </c>
      <c r="D79" s="108">
        <f t="shared" si="8"/>
        <v>20</v>
      </c>
      <c r="E79" s="109">
        <f t="shared" si="9"/>
        <v>10.45372363323289</v>
      </c>
      <c r="G79" s="117"/>
      <c r="H79" s="119"/>
    </row>
    <row r="80" spans="1:8">
      <c r="A80" s="76" t="s">
        <v>323</v>
      </c>
      <c r="B80" s="107">
        <f>J36/1</f>
        <v>0.79800000000000004</v>
      </c>
      <c r="C80" s="108">
        <f t="shared" si="7"/>
        <v>35.225217391304383</v>
      </c>
      <c r="D80" s="108">
        <f t="shared" si="8"/>
        <v>21.433333333333334</v>
      </c>
      <c r="E80" s="109">
        <f t="shared" si="9"/>
        <v>5.6658550724637724</v>
      </c>
      <c r="G80" s="117"/>
      <c r="H80" s="119"/>
    </row>
    <row r="81" spans="1:8">
      <c r="A81" s="76" t="s">
        <v>324</v>
      </c>
      <c r="B81" s="107">
        <f>J37/1</f>
        <v>1.052</v>
      </c>
      <c r="C81" s="108">
        <f t="shared" si="7"/>
        <v>84.625217391304361</v>
      </c>
      <c r="D81" s="108">
        <f t="shared" si="8"/>
        <v>10.233333333333333</v>
      </c>
      <c r="E81" s="109">
        <f t="shared" si="9"/>
        <v>9.4858550724637691</v>
      </c>
      <c r="G81" s="117"/>
      <c r="H81" s="119"/>
    </row>
    <row r="82" spans="1:8">
      <c r="A82" s="76" t="s">
        <v>325</v>
      </c>
      <c r="B82" s="107">
        <f>J38/1.03</f>
        <v>0.8233009708737864</v>
      </c>
      <c r="C82" s="108">
        <f t="shared" si="7"/>
        <v>39.773828619670752</v>
      </c>
      <c r="D82" s="108">
        <f t="shared" si="8"/>
        <v>17.266666666666666</v>
      </c>
      <c r="E82" s="109">
        <f t="shared" si="9"/>
        <v>5.7040495286337416</v>
      </c>
      <c r="G82" s="117"/>
      <c r="H82" s="119"/>
    </row>
    <row r="83" spans="1:8">
      <c r="A83" s="76" t="s">
        <v>326</v>
      </c>
      <c r="B83" s="107">
        <f>J39/0.98</f>
        <v>0.82755102040816331</v>
      </c>
      <c r="C83" s="108">
        <f t="shared" si="7"/>
        <v>37.100887311446343</v>
      </c>
      <c r="D83" s="108">
        <f t="shared" si="8"/>
        <v>15.366666666666667</v>
      </c>
      <c r="E83" s="109">
        <f t="shared" si="9"/>
        <v>5.2467553978113006</v>
      </c>
      <c r="G83" s="117"/>
      <c r="H83" s="119"/>
    </row>
    <row r="84" spans="1:8">
      <c r="A84" s="76" t="s">
        <v>327</v>
      </c>
      <c r="B84" s="107">
        <f>J40/1</f>
        <v>0.83799999999999997</v>
      </c>
      <c r="C84" s="108">
        <f t="shared" si="7"/>
        <v>32.691304347826083</v>
      </c>
      <c r="D84" s="108">
        <f t="shared" si="8"/>
        <v>12.166666666666666</v>
      </c>
      <c r="E84" s="109">
        <f t="shared" si="9"/>
        <v>4.4857971014492746</v>
      </c>
      <c r="G84" s="117"/>
      <c r="H84" s="119"/>
    </row>
    <row r="85" spans="1:8">
      <c r="A85" s="76" t="s">
        <v>328</v>
      </c>
      <c r="B85" s="107">
        <f>J41/1</f>
        <v>0.80200000000000005</v>
      </c>
      <c r="C85" s="108">
        <f t="shared" si="7"/>
        <v>17.420000000000016</v>
      </c>
      <c r="D85" s="108">
        <f t="shared" si="8"/>
        <v>9.9666666666666668</v>
      </c>
      <c r="E85" s="109">
        <f t="shared" si="9"/>
        <v>2.7386666666666684</v>
      </c>
      <c r="G85" s="117"/>
      <c r="H85" s="119"/>
    </row>
    <row r="86" spans="1:8">
      <c r="A86" s="76" t="s">
        <v>329</v>
      </c>
      <c r="B86" s="107">
        <f>J42/1.22</f>
        <v>0.76393442622950825</v>
      </c>
      <c r="C86" s="108">
        <f t="shared" si="7"/>
        <v>19.448966500356423</v>
      </c>
      <c r="D86" s="108">
        <f t="shared" si="8"/>
        <v>25.766666666666666</v>
      </c>
      <c r="E86" s="109">
        <f t="shared" si="9"/>
        <v>4.5215633167023084</v>
      </c>
      <c r="G86" s="117"/>
      <c r="H86" s="119"/>
    </row>
    <row r="87" spans="1:8">
      <c r="A87" s="76" t="s">
        <v>330</v>
      </c>
      <c r="B87" s="107">
        <f>J43/0.92</f>
        <v>0.92934782608695643</v>
      </c>
      <c r="C87" s="108">
        <f t="shared" si="7"/>
        <v>58.304347826086939</v>
      </c>
      <c r="D87" s="108">
        <f t="shared" si="8"/>
        <v>11.5</v>
      </c>
      <c r="E87" s="109">
        <f t="shared" si="9"/>
        <v>6.9804347826086941</v>
      </c>
      <c r="G87" s="117"/>
      <c r="H87" s="119"/>
    </row>
    <row r="88" spans="1:8">
      <c r="A88" s="83" t="s">
        <v>334</v>
      </c>
      <c r="B88" s="107">
        <f>J44/1.01</f>
        <v>0.84455445544554453</v>
      </c>
      <c r="C88" s="108">
        <f t="shared" si="7"/>
        <v>140.13443822643131</v>
      </c>
      <c r="D88" s="108">
        <f t="shared" si="8"/>
        <v>49.033333333333331</v>
      </c>
      <c r="E88" s="109">
        <f t="shared" si="9"/>
        <v>18.916777155976465</v>
      </c>
      <c r="G88" s="117"/>
      <c r="H88" s="119"/>
    </row>
    <row r="89" spans="1:8">
      <c r="A89" s="76" t="s">
        <v>335</v>
      </c>
      <c r="B89" s="107">
        <f>J45/1</f>
        <v>0.89300000000000002</v>
      </c>
      <c r="C89" s="108">
        <f t="shared" si="7"/>
        <v>76.252173913043492</v>
      </c>
      <c r="D89" s="108">
        <f t="shared" si="8"/>
        <v>18.5</v>
      </c>
      <c r="E89" s="109">
        <f t="shared" si="9"/>
        <v>9.4752173913043496</v>
      </c>
      <c r="G89" s="117"/>
      <c r="H89" s="119"/>
    </row>
    <row r="90" spans="1:8">
      <c r="A90" s="76" t="s">
        <v>336</v>
      </c>
      <c r="B90" s="107">
        <f>J46/1.1</f>
        <v>0.79727272727272724</v>
      </c>
      <c r="C90" s="108">
        <f t="shared" si="7"/>
        <v>40.45019762845849</v>
      </c>
      <c r="D90" s="108">
        <f t="shared" si="8"/>
        <v>24.9</v>
      </c>
      <c r="E90" s="109">
        <f t="shared" si="9"/>
        <v>6.5350197628458488</v>
      </c>
      <c r="G90" s="117"/>
      <c r="H90" s="119"/>
    </row>
    <row r="91" spans="1:8">
      <c r="A91" s="76" t="s">
        <v>337</v>
      </c>
      <c r="B91" s="107">
        <f>J47/1.17</f>
        <v>0.67521367521367526</v>
      </c>
      <c r="C91" s="108">
        <f t="shared" si="7"/>
        <v>-59.890301003344426</v>
      </c>
      <c r="D91" s="108">
        <f t="shared" si="8"/>
        <v>38.4</v>
      </c>
      <c r="E91" s="109">
        <f t="shared" si="9"/>
        <v>-2.1490301003344427</v>
      </c>
      <c r="G91" s="117"/>
      <c r="H91" s="119"/>
    </row>
    <row r="92" spans="1:8">
      <c r="A92" s="83" t="s">
        <v>338</v>
      </c>
      <c r="B92" s="107">
        <f>J48/1</f>
        <v>0.81299999999999994</v>
      </c>
      <c r="C92" s="108">
        <f t="shared" si="7"/>
        <v>69.453913043478224</v>
      </c>
      <c r="D92" s="108">
        <f t="shared" si="8"/>
        <v>34.133333333333333</v>
      </c>
      <c r="E92" s="109">
        <f t="shared" si="9"/>
        <v>10.358724637681155</v>
      </c>
      <c r="G92" s="117"/>
      <c r="H92" s="119"/>
    </row>
    <row r="93" spans="1:8">
      <c r="A93" s="76" t="s">
        <v>339</v>
      </c>
      <c r="B93" s="107">
        <f>J49/1</f>
        <v>0.93</v>
      </c>
      <c r="C93" s="108">
        <f t="shared" si="7"/>
        <v>138.02608695652179</v>
      </c>
      <c r="D93" s="108">
        <f t="shared" si="8"/>
        <v>27.133333333333333</v>
      </c>
      <c r="E93" s="109">
        <f t="shared" si="9"/>
        <v>16.515942028985513</v>
      </c>
      <c r="G93" s="117"/>
      <c r="H93" s="119"/>
    </row>
    <row r="94" spans="1:8">
      <c r="A94" s="76" t="s">
        <v>340</v>
      </c>
      <c r="B94" s="107">
        <f>J50/0.95</f>
        <v>0.95157894736842108</v>
      </c>
      <c r="C94" s="108">
        <f t="shared" si="7"/>
        <v>67.045308924485141</v>
      </c>
      <c r="D94" s="108">
        <f t="shared" si="8"/>
        <v>11.866666666666667</v>
      </c>
      <c r="E94" s="109">
        <f t="shared" si="9"/>
        <v>7.8911975591151817</v>
      </c>
      <c r="G94" s="117"/>
      <c r="H94" s="119"/>
    </row>
    <row r="95" spans="1:8">
      <c r="A95" s="90" t="s">
        <v>360</v>
      </c>
      <c r="B95" s="107">
        <f t="shared" ref="B95" si="10">J51/0.99</f>
        <v>0.80303030303030309</v>
      </c>
      <c r="C95" s="108">
        <f t="shared" si="7"/>
        <v>45.609881422924957</v>
      </c>
      <c r="D95" s="108">
        <f t="shared" si="8"/>
        <v>25.7</v>
      </c>
      <c r="E95" s="109">
        <f t="shared" si="9"/>
        <v>7.1309881422924963</v>
      </c>
      <c r="G95" s="117"/>
      <c r="H95" s="119"/>
    </row>
    <row r="96" spans="1:8">
      <c r="A96" s="76" t="s">
        <v>341</v>
      </c>
      <c r="B96" s="107">
        <f>J52/1.01</f>
        <v>0.80990099009900984</v>
      </c>
      <c r="C96" s="108">
        <f t="shared" si="7"/>
        <v>80.437150236762776</v>
      </c>
      <c r="D96" s="108">
        <f t="shared" si="8"/>
        <v>41.166666666666664</v>
      </c>
      <c r="E96" s="109">
        <f t="shared" si="9"/>
        <v>12.160381690342945</v>
      </c>
      <c r="G96" s="117"/>
      <c r="H96" s="119"/>
    </row>
    <row r="97" spans="1:5">
      <c r="A97" s="76" t="s">
        <v>342</v>
      </c>
      <c r="B97" s="107">
        <f>J53/1</f>
        <v>1.2829999999999999</v>
      </c>
      <c r="C97" s="108">
        <f t="shared" si="7"/>
        <v>18.107826086956521</v>
      </c>
      <c r="D97" s="108">
        <f t="shared" si="8"/>
        <v>1.2666666666666666</v>
      </c>
      <c r="E97" s="109">
        <f t="shared" si="9"/>
        <v>1.9374492753623187</v>
      </c>
    </row>
    <row r="98" spans="1:5">
      <c r="A98" s="76" t="s">
        <v>343</v>
      </c>
      <c r="B98" s="107">
        <f>J54/1</f>
        <v>0.94</v>
      </c>
      <c r="C98" s="108">
        <f t="shared" si="7"/>
        <v>154.195652173913</v>
      </c>
      <c r="D98" s="108">
        <f t="shared" si="8"/>
        <v>28.833333333333332</v>
      </c>
      <c r="E98" s="109">
        <f t="shared" si="9"/>
        <v>18.302898550724635</v>
      </c>
    </row>
    <row r="99" spans="1:5">
      <c r="A99" s="83" t="s">
        <v>344</v>
      </c>
      <c r="B99" s="107">
        <f>J55/1</f>
        <v>0.83099999999999996</v>
      </c>
      <c r="C99" s="108">
        <f t="shared" si="7"/>
        <v>71.206956521739116</v>
      </c>
      <c r="D99" s="108">
        <f t="shared" si="8"/>
        <v>28.433333333333334</v>
      </c>
      <c r="E99" s="109">
        <f t="shared" si="9"/>
        <v>9.9640289855072446</v>
      </c>
    </row>
    <row r="100" spans="1:5">
      <c r="A100" s="76" t="s">
        <v>345</v>
      </c>
      <c r="B100" s="107">
        <f>J56/1</f>
        <v>0.82199999999999995</v>
      </c>
      <c r="C100" s="108">
        <f t="shared" si="7"/>
        <v>99.785217391304315</v>
      </c>
      <c r="D100" s="108">
        <f t="shared" si="8"/>
        <v>43.966666666666669</v>
      </c>
      <c r="E100" s="109">
        <f t="shared" si="9"/>
        <v>14.375188405797099</v>
      </c>
    </row>
    <row r="101" spans="1:5">
      <c r="A101" s="78" t="s">
        <v>361</v>
      </c>
      <c r="B101" s="107">
        <f>J57/0.95</f>
        <v>0</v>
      </c>
      <c r="C101" s="108">
        <f t="shared" si="7"/>
        <v>0</v>
      </c>
      <c r="D101" s="108">
        <f t="shared" si="8"/>
        <v>0</v>
      </c>
      <c r="E101" s="109">
        <f t="shared" si="9"/>
        <v>0</v>
      </c>
    </row>
  </sheetData>
  <mergeCells count="7">
    <mergeCell ref="T35:X35"/>
    <mergeCell ref="A61:E61"/>
    <mergeCell ref="A17:J17"/>
    <mergeCell ref="A1:K1"/>
    <mergeCell ref="M1:R1"/>
    <mergeCell ref="T1:U1"/>
    <mergeCell ref="V1:W1"/>
  </mergeCells>
  <pageMargins left="0.7" right="0.7" top="0.75" bottom="0.75" header="0.3" footer="0.3"/>
  <pageSetup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75BB-10B5-1845-B2CA-CBF7BFBF7646}">
  <dimension ref="A1:BV61"/>
  <sheetViews>
    <sheetView tabSelected="1" zoomScale="75" workbookViewId="0">
      <selection activeCell="J14" sqref="J14"/>
    </sheetView>
  </sheetViews>
  <sheetFormatPr baseColWidth="10" defaultRowHeight="16"/>
  <cols>
    <col min="15" max="15" width="19.83203125" customWidth="1"/>
    <col min="16" max="16" width="16.83203125" customWidth="1"/>
    <col min="17" max="17" width="12.83203125" customWidth="1"/>
    <col min="18" max="18" width="17.33203125" customWidth="1"/>
    <col min="19" max="20" width="20.1640625" customWidth="1"/>
    <col min="21" max="21" width="34.5" customWidth="1"/>
    <col min="22" max="22" width="44.33203125" customWidth="1"/>
    <col min="23" max="23" width="27" customWidth="1"/>
    <col min="24" max="24" width="43.5" customWidth="1"/>
    <col min="28" max="28" width="22.6640625" customWidth="1"/>
    <col min="48" max="48" width="28.5" customWidth="1"/>
    <col min="51" max="51" width="22.6640625" customWidth="1"/>
    <col min="62" max="63" width="11.6640625" bestFit="1" customWidth="1"/>
    <col min="66" max="66" width="63.1640625" customWidth="1"/>
    <col min="68" max="68" width="25" customWidth="1"/>
    <col min="69" max="69" width="15.1640625" customWidth="1"/>
    <col min="74" max="74" width="0" hidden="1" customWidth="1"/>
  </cols>
  <sheetData>
    <row r="1" spans="1:74" ht="50">
      <c r="A1" s="134" t="s">
        <v>463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O1" s="170" t="s">
        <v>304</v>
      </c>
      <c r="P1" s="171" t="s">
        <v>8</v>
      </c>
      <c r="Q1" s="171" t="s">
        <v>414</v>
      </c>
      <c r="R1" s="172" t="s">
        <v>447</v>
      </c>
      <c r="S1" s="144" t="s">
        <v>457</v>
      </c>
      <c r="T1" s="144" t="s">
        <v>462</v>
      </c>
      <c r="U1" s="144" t="s">
        <v>460</v>
      </c>
      <c r="V1" s="144" t="s">
        <v>458</v>
      </c>
      <c r="W1" s="144" t="s">
        <v>459</v>
      </c>
      <c r="AA1" s="143" t="s">
        <v>444</v>
      </c>
      <c r="AB1" s="143"/>
      <c r="AC1" s="143"/>
      <c r="AD1" s="143"/>
      <c r="AE1" s="143"/>
      <c r="AF1" s="143"/>
      <c r="AG1" s="143"/>
      <c r="AH1" s="143"/>
      <c r="AI1" s="143"/>
      <c r="AJ1" s="143"/>
      <c r="AK1" s="143"/>
      <c r="AL1" s="143"/>
      <c r="AM1" s="143"/>
      <c r="AN1" s="143"/>
      <c r="AO1" s="143"/>
      <c r="AP1" s="143"/>
      <c r="AQ1" s="143"/>
      <c r="AR1" s="143"/>
      <c r="AS1" s="143"/>
      <c r="AT1" s="143"/>
      <c r="AU1" s="143"/>
      <c r="AX1" s="152" t="s">
        <v>454</v>
      </c>
      <c r="AY1" s="151"/>
      <c r="AZ1" s="151"/>
      <c r="BA1" s="151"/>
      <c r="BB1" s="151"/>
      <c r="BC1" s="151"/>
      <c r="BD1" s="151"/>
      <c r="BE1" s="151"/>
      <c r="BF1" s="151"/>
      <c r="BG1" s="151"/>
      <c r="BH1" s="151"/>
      <c r="BI1" s="151"/>
      <c r="BJ1" s="151"/>
      <c r="BK1" s="151"/>
      <c r="BL1" s="151"/>
      <c r="BM1" s="151"/>
      <c r="BP1" s="161" t="s">
        <v>451</v>
      </c>
      <c r="BQ1" s="162"/>
    </row>
    <row r="2" spans="1:74" ht="30">
      <c r="A2" s="72" t="s">
        <v>304</v>
      </c>
      <c r="B2" s="73" t="s">
        <v>8</v>
      </c>
      <c r="C2" s="73" t="s">
        <v>5</v>
      </c>
      <c r="D2" s="73" t="s">
        <v>414</v>
      </c>
      <c r="E2" s="73" t="s">
        <v>9</v>
      </c>
      <c r="F2" s="73" t="s">
        <v>10</v>
      </c>
      <c r="G2" s="73" t="s">
        <v>288</v>
      </c>
      <c r="H2" s="74" t="s">
        <v>436</v>
      </c>
      <c r="I2" s="74" t="s">
        <v>412</v>
      </c>
      <c r="J2" s="74" t="s">
        <v>413</v>
      </c>
      <c r="K2" s="74" t="s">
        <v>445</v>
      </c>
      <c r="L2" s="74" t="s">
        <v>446</v>
      </c>
      <c r="O2" s="75">
        <v>1</v>
      </c>
      <c r="P2" s="76" t="s">
        <v>301</v>
      </c>
      <c r="Q2" s="76">
        <v>22</v>
      </c>
      <c r="R2" s="181">
        <f>(((T2-100)/100)*550*U2)/10</f>
        <v>0.70831245154394562</v>
      </c>
      <c r="S2" s="107">
        <f>(0.69*BK3)+(0.72*BL3)</f>
        <v>0.45522129218516305</v>
      </c>
      <c r="T2" s="180">
        <f>(((S2-0.32)/1.25)+1)*100</f>
        <v>110.81770337481305</v>
      </c>
      <c r="U2" s="108">
        <f>BC3/BB3</f>
        <v>0.11904937456387302</v>
      </c>
      <c r="V2" s="144" t="s">
        <v>461</v>
      </c>
      <c r="Y2" s="135"/>
      <c r="AA2" s="153" t="s">
        <v>437</v>
      </c>
      <c r="AB2" s="153" t="s">
        <v>8</v>
      </c>
      <c r="AC2" s="153" t="s">
        <v>414</v>
      </c>
      <c r="AD2" s="153" t="s">
        <v>438</v>
      </c>
      <c r="AE2" s="153" t="s">
        <v>415</v>
      </c>
      <c r="AF2" s="153" t="s">
        <v>416</v>
      </c>
      <c r="AG2" s="153" t="s">
        <v>417</v>
      </c>
      <c r="AH2" s="153" t="s">
        <v>455</v>
      </c>
      <c r="AI2" s="153" t="s">
        <v>418</v>
      </c>
      <c r="AJ2" s="153" t="s">
        <v>144</v>
      </c>
      <c r="AK2" s="153" t="s">
        <v>119</v>
      </c>
      <c r="AL2" s="153" t="s">
        <v>419</v>
      </c>
      <c r="AM2" s="153" t="s">
        <v>420</v>
      </c>
      <c r="AN2" s="153" t="s">
        <v>421</v>
      </c>
      <c r="AO2" s="153" t="s">
        <v>422</v>
      </c>
      <c r="AP2" s="153" t="s">
        <v>423</v>
      </c>
      <c r="AQ2" s="153" t="s">
        <v>424</v>
      </c>
      <c r="AR2" s="153" t="s">
        <v>425</v>
      </c>
      <c r="AS2" s="153" t="s">
        <v>426</v>
      </c>
      <c r="AT2" s="153" t="s">
        <v>427</v>
      </c>
      <c r="AU2" s="153" t="s">
        <v>428</v>
      </c>
      <c r="AV2" s="147" t="s">
        <v>408</v>
      </c>
      <c r="AX2" s="153" t="s">
        <v>437</v>
      </c>
      <c r="AY2" s="153" t="s">
        <v>8</v>
      </c>
      <c r="AZ2" s="153" t="s">
        <v>414</v>
      </c>
      <c r="BA2" s="153" t="s">
        <v>452</v>
      </c>
      <c r="BB2" s="153" t="s">
        <v>456</v>
      </c>
      <c r="BC2" s="153" t="s">
        <v>417</v>
      </c>
      <c r="BD2" s="153" t="s">
        <v>418</v>
      </c>
      <c r="BE2" s="153" t="s">
        <v>144</v>
      </c>
      <c r="BF2" s="153" t="s">
        <v>119</v>
      </c>
      <c r="BG2" s="153" t="s">
        <v>419</v>
      </c>
      <c r="BH2" s="153" t="s">
        <v>421</v>
      </c>
      <c r="BI2" s="153" t="s">
        <v>422</v>
      </c>
      <c r="BJ2" s="153" t="s">
        <v>425</v>
      </c>
      <c r="BK2" s="153" t="s">
        <v>426</v>
      </c>
      <c r="BL2" s="153" t="s">
        <v>427</v>
      </c>
      <c r="BM2" s="153" t="s">
        <v>428</v>
      </c>
      <c r="BN2" s="154" t="s">
        <v>448</v>
      </c>
      <c r="BP2" s="103" t="s">
        <v>366</v>
      </c>
      <c r="BQ2" s="102">
        <v>0.87</v>
      </c>
    </row>
    <row r="3" spans="1:74">
      <c r="A3" s="75">
        <v>1</v>
      </c>
      <c r="B3" s="76" t="s">
        <v>301</v>
      </c>
      <c r="C3" s="77" t="s">
        <v>95</v>
      </c>
      <c r="D3" s="76">
        <v>22</v>
      </c>
      <c r="E3" s="76" t="s">
        <v>62</v>
      </c>
      <c r="F3" s="76" t="s">
        <v>54</v>
      </c>
      <c r="G3" s="76">
        <v>0.6</v>
      </c>
      <c r="H3" s="79">
        <v>60</v>
      </c>
      <c r="I3" s="90">
        <v>8.1</v>
      </c>
      <c r="J3" s="90">
        <v>20.3</v>
      </c>
      <c r="K3" s="85">
        <f>((AJ3*1)+(AK3*2)+(AL3*3))/AF3</f>
        <v>0.17054263565891473</v>
      </c>
      <c r="L3" s="148">
        <f>(AU3/0.735)*100</f>
        <v>102.99319727891157</v>
      </c>
      <c r="O3" s="79">
        <v>2</v>
      </c>
      <c r="P3" s="76" t="s">
        <v>302</v>
      </c>
      <c r="Q3" s="76">
        <v>19</v>
      </c>
      <c r="R3" s="181">
        <f t="shared" ref="R3:R39" si="0">(((T3-100)/100)*550*U3)/10</f>
        <v>1.635269419250621</v>
      </c>
      <c r="S3" s="107">
        <f>(0.69*BK4)+(0.72*BL4)</f>
        <v>0.54219874355937736</v>
      </c>
      <c r="T3" s="180">
        <f>(((S3-0.32)/1.25)+1)*100</f>
        <v>117.77589948475018</v>
      </c>
      <c r="U3" s="108">
        <f t="shared" ref="U3:U39" si="1">BC4/BB4</f>
        <v>0.16726113513754515</v>
      </c>
      <c r="AA3" s="153">
        <v>1</v>
      </c>
      <c r="AB3" s="153" t="s">
        <v>301</v>
      </c>
      <c r="AC3" s="153">
        <v>22</v>
      </c>
      <c r="AD3" s="153" t="s">
        <v>429</v>
      </c>
      <c r="AE3" s="153">
        <v>581</v>
      </c>
      <c r="AF3" s="153">
        <v>516</v>
      </c>
      <c r="AG3" s="153">
        <v>72</v>
      </c>
      <c r="AH3" s="153">
        <f>AF3-AI3</f>
        <v>383</v>
      </c>
      <c r="AI3" s="153">
        <v>133</v>
      </c>
      <c r="AJ3" s="153">
        <v>26</v>
      </c>
      <c r="AK3" s="153">
        <v>7</v>
      </c>
      <c r="AL3" s="153">
        <v>16</v>
      </c>
      <c r="AM3" s="153">
        <v>221</v>
      </c>
      <c r="AN3" s="153">
        <v>76</v>
      </c>
      <c r="AO3" s="153">
        <v>47</v>
      </c>
      <c r="AP3" s="153">
        <v>118</v>
      </c>
      <c r="AQ3" s="153">
        <v>37</v>
      </c>
      <c r="AR3" s="153">
        <v>0.25800000000000001</v>
      </c>
      <c r="AS3" s="153">
        <v>0.32900000000000001</v>
      </c>
      <c r="AT3" s="153">
        <v>0.42799999999999999</v>
      </c>
      <c r="AU3" s="153">
        <v>0.75700000000000001</v>
      </c>
      <c r="AV3" s="53"/>
      <c r="AX3" s="153">
        <v>1</v>
      </c>
      <c r="AY3" s="153" t="s">
        <v>301</v>
      </c>
      <c r="AZ3" s="153">
        <v>22</v>
      </c>
      <c r="BA3" s="153">
        <v>0.99</v>
      </c>
      <c r="BB3" s="169">
        <f>BD3+AH3</f>
        <v>490.96940000000001</v>
      </c>
      <c r="BC3" s="169">
        <f>AG3*0.82*BA3</f>
        <v>58.449599999999997</v>
      </c>
      <c r="BD3" s="169">
        <f>AI3*0.82*BA3</f>
        <v>107.96939999999999</v>
      </c>
      <c r="BE3" s="169">
        <f>AJ3*0.82*BA3</f>
        <v>21.1068</v>
      </c>
      <c r="BF3" s="169">
        <f>AK3*0.82*0.85*BA3</f>
        <v>4.8302099999999992</v>
      </c>
      <c r="BG3" s="169">
        <f>AL3*0.82*BA3</f>
        <v>12.988799999999999</v>
      </c>
      <c r="BH3" s="169">
        <f>AN3*0.82*BA3</f>
        <v>61.696799999999996</v>
      </c>
      <c r="BI3" s="169">
        <f>AO3*1.05*BA3</f>
        <v>48.856500000000004</v>
      </c>
      <c r="BJ3" s="168">
        <f>BD3/BB3</f>
        <v>0.2199106502360432</v>
      </c>
      <c r="BK3" s="168">
        <f>(BD3+BH3)/(BB3+BH3+BI3)</f>
        <v>0.28206117574615225</v>
      </c>
      <c r="BL3" s="168">
        <f>((BD3-BE3-BF3-BG3)+(2*BE3)+(3*BF3)+(4*BG3))/BB3</f>
        <v>0.36194316794488612</v>
      </c>
      <c r="BM3" s="168">
        <f>BK3+BL3</f>
        <v>0.64400434369103832</v>
      </c>
      <c r="BN3" s="153" t="s">
        <v>449</v>
      </c>
      <c r="BP3" s="103" t="s">
        <v>367</v>
      </c>
      <c r="BQ3" s="163">
        <f>((97+84+97)/3)/100</f>
        <v>0.92666666666666675</v>
      </c>
    </row>
    <row r="4" spans="1:74">
      <c r="A4" s="79">
        <v>2</v>
      </c>
      <c r="B4" s="76" t="s">
        <v>302</v>
      </c>
      <c r="C4" s="77" t="s">
        <v>56</v>
      </c>
      <c r="D4" s="76">
        <v>19</v>
      </c>
      <c r="E4" s="76" t="s">
        <v>62</v>
      </c>
      <c r="F4" s="76" t="s">
        <v>54</v>
      </c>
      <c r="G4" s="76">
        <v>0</v>
      </c>
      <c r="H4" s="80">
        <v>55</v>
      </c>
      <c r="I4" s="90">
        <v>15.2</v>
      </c>
      <c r="J4" s="90">
        <v>12.8</v>
      </c>
      <c r="K4" s="85">
        <f>((AJ4*1)+(AK4*2)+(AL4*3))/AF4</f>
        <v>0.15737704918032788</v>
      </c>
      <c r="L4" s="148">
        <f>(AU4/0.735)*100</f>
        <v>113.33333333333333</v>
      </c>
      <c r="O4" s="79">
        <v>3</v>
      </c>
      <c r="P4" s="76" t="s">
        <v>303</v>
      </c>
      <c r="Q4" s="76">
        <v>20</v>
      </c>
      <c r="R4" s="181">
        <f t="shared" si="0"/>
        <v>1.5581243478767322</v>
      </c>
      <c r="S4" s="107">
        <f t="shared" ref="S4:S39" si="2">(0.69*BK5)+(0.72*BL5)</f>
        <v>0.51543020613878388</v>
      </c>
      <c r="T4" s="180">
        <f t="shared" ref="T4:T39" si="3">(((S4-0.32)/1.25)+1)*100</f>
        <v>115.63441649110271</v>
      </c>
      <c r="U4" s="108">
        <f t="shared" si="1"/>
        <v>0.1811998139737459</v>
      </c>
      <c r="AA4" s="153">
        <v>2</v>
      </c>
      <c r="AB4" s="153" t="s">
        <v>302</v>
      </c>
      <c r="AC4" s="153">
        <v>19</v>
      </c>
      <c r="AD4" s="153" t="s">
        <v>430</v>
      </c>
      <c r="AE4" s="153">
        <v>368</v>
      </c>
      <c r="AF4" s="153">
        <v>305</v>
      </c>
      <c r="AG4" s="153">
        <v>51</v>
      </c>
      <c r="AH4" s="153">
        <f t="shared" ref="AH4:AH40" si="4">AF4-AI4</f>
        <v>219</v>
      </c>
      <c r="AI4" s="153">
        <v>86</v>
      </c>
      <c r="AJ4" s="153">
        <v>22</v>
      </c>
      <c r="AK4" s="153">
        <v>4</v>
      </c>
      <c r="AL4" s="153">
        <v>6</v>
      </c>
      <c r="AM4" s="153">
        <v>134</v>
      </c>
      <c r="AN4" s="153">
        <v>58</v>
      </c>
      <c r="AO4" s="153">
        <v>56</v>
      </c>
      <c r="AP4" s="153">
        <v>47</v>
      </c>
      <c r="AQ4" s="153">
        <v>17</v>
      </c>
      <c r="AR4" s="153">
        <v>0.28199999999999997</v>
      </c>
      <c r="AS4" s="153">
        <v>0.39400000000000002</v>
      </c>
      <c r="AT4" s="153">
        <v>0.439</v>
      </c>
      <c r="AU4" s="153">
        <v>0.83299999999999996</v>
      </c>
      <c r="AV4" s="53"/>
      <c r="AX4" s="153">
        <v>2</v>
      </c>
      <c r="AY4" s="153" t="s">
        <v>302</v>
      </c>
      <c r="AZ4" s="153">
        <v>19</v>
      </c>
      <c r="BA4" s="153">
        <v>1.22</v>
      </c>
      <c r="BB4" s="169">
        <f t="shared" ref="BB4:BB40" si="5">BD4+AH4</f>
        <v>305.03440000000001</v>
      </c>
      <c r="BC4" s="169">
        <f>AG4*0.82*BA4</f>
        <v>51.020400000000002</v>
      </c>
      <c r="BD4" s="169">
        <f t="shared" ref="BD4:BD40" si="6">AI4*0.82*BA4</f>
        <v>86.034399999999991</v>
      </c>
      <c r="BE4" s="169">
        <f t="shared" ref="BE4:BE40" si="7">AJ4*0.82*BA4</f>
        <v>22.008799999999997</v>
      </c>
      <c r="BF4" s="169">
        <f t="shared" ref="BF4:BF40" si="8">AK4*0.82*0.85*BA4</f>
        <v>3.4013599999999995</v>
      </c>
      <c r="BG4" s="169">
        <f t="shared" ref="BG4:BG40" si="9">AL4*0.82*BA4</f>
        <v>6.0023999999999997</v>
      </c>
      <c r="BH4" s="169">
        <f t="shared" ref="BH4:BH40" si="10">AN4*0.82*BA4</f>
        <v>58.023199999999996</v>
      </c>
      <c r="BI4" s="169">
        <f t="shared" ref="BI4:BI40" si="11">AO4*1.05*BA4</f>
        <v>71.736000000000004</v>
      </c>
      <c r="BJ4" s="168">
        <f t="shared" ref="BJ4:BJ40" si="12">BD4/BB4</f>
        <v>0.28204818866331138</v>
      </c>
      <c r="BK4" s="168">
        <f t="shared" ref="BK4:BK40" si="13">(BD4+BH4)/(BB4+BH4+BI4)</f>
        <v>0.33132410412664764</v>
      </c>
      <c r="BL4" s="168">
        <f t="shared" ref="BL4:BL40" si="14">((BD4-BE4-BF4-BG4)+(2*BE4)+(3*BF4)+(4*BG4))/BB4</f>
        <v>0.43553487737776458</v>
      </c>
      <c r="BM4" s="168">
        <f t="shared" ref="BM4:BM40" si="15">BK4+BL4</f>
        <v>0.76685898150441223</v>
      </c>
      <c r="BN4" s="153" t="s">
        <v>450</v>
      </c>
      <c r="BP4" s="103" t="s">
        <v>368</v>
      </c>
      <c r="BQ4" s="163">
        <f>((100+92+98)/3)/100</f>
        <v>0.96666666666666667</v>
      </c>
    </row>
    <row r="5" spans="1:74" ht="30">
      <c r="A5" s="79">
        <v>3</v>
      </c>
      <c r="B5" s="76" t="s">
        <v>303</v>
      </c>
      <c r="C5" s="77" t="s">
        <v>121</v>
      </c>
      <c r="D5" s="76">
        <v>20</v>
      </c>
      <c r="E5" s="76" t="s">
        <v>62</v>
      </c>
      <c r="F5" s="76" t="s">
        <v>54</v>
      </c>
      <c r="G5" s="76">
        <v>0</v>
      </c>
      <c r="H5" s="80">
        <v>50</v>
      </c>
      <c r="I5" s="90">
        <v>14.6</v>
      </c>
      <c r="J5" s="90">
        <v>23.5</v>
      </c>
      <c r="K5" s="85">
        <f>((AJ5*1)+(AK5*2)+(AL5*3))/AF5</f>
        <v>0.20704845814977973</v>
      </c>
      <c r="L5" s="148">
        <f>(AU5/0.735)*100</f>
        <v>121.6326530612245</v>
      </c>
      <c r="O5" s="79">
        <v>4</v>
      </c>
      <c r="P5" s="76" t="s">
        <v>305</v>
      </c>
      <c r="Q5" s="76">
        <v>21</v>
      </c>
      <c r="R5" s="181">
        <f t="shared" si="0"/>
        <v>1.5040651397551978</v>
      </c>
      <c r="S5" s="107">
        <f t="shared" si="2"/>
        <v>0.51273799033781065</v>
      </c>
      <c r="T5" s="180">
        <f t="shared" si="3"/>
        <v>115.41903922702485</v>
      </c>
      <c r="U5" s="108">
        <f t="shared" si="1"/>
        <v>0.17735630931342128</v>
      </c>
      <c r="Y5" s="136"/>
      <c r="Z5" s="136"/>
      <c r="AA5" s="145">
        <v>3</v>
      </c>
      <c r="AB5" s="145" t="s">
        <v>303</v>
      </c>
      <c r="AC5" s="145">
        <v>20</v>
      </c>
      <c r="AD5" s="145" t="s">
        <v>431</v>
      </c>
      <c r="AE5" s="145">
        <v>540</v>
      </c>
      <c r="AF5" s="145">
        <v>454</v>
      </c>
      <c r="AG5" s="145">
        <v>93</v>
      </c>
      <c r="AH5" s="153">
        <f t="shared" si="4"/>
        <v>322</v>
      </c>
      <c r="AI5" s="145">
        <v>132</v>
      </c>
      <c r="AJ5" s="145">
        <v>32</v>
      </c>
      <c r="AK5" s="145">
        <v>4</v>
      </c>
      <c r="AL5" s="145">
        <v>18</v>
      </c>
      <c r="AM5" s="153">
        <v>226</v>
      </c>
      <c r="AN5" s="153">
        <v>65</v>
      </c>
      <c r="AO5" s="153">
        <v>79</v>
      </c>
      <c r="AP5" s="153">
        <v>127</v>
      </c>
      <c r="AQ5" s="153">
        <v>21</v>
      </c>
      <c r="AR5" s="153">
        <v>0.29099999999999998</v>
      </c>
      <c r="AS5" s="153">
        <v>0.39600000000000002</v>
      </c>
      <c r="AT5" s="153">
        <v>0.498</v>
      </c>
      <c r="AU5" s="153">
        <v>0.89400000000000002</v>
      </c>
      <c r="AV5" s="53"/>
      <c r="AX5" s="145">
        <v>3</v>
      </c>
      <c r="AY5" s="145" t="s">
        <v>303</v>
      </c>
      <c r="AZ5" s="145">
        <v>20</v>
      </c>
      <c r="BA5" s="145">
        <v>1.03</v>
      </c>
      <c r="BB5" s="169">
        <f t="shared" si="5"/>
        <v>433.48720000000003</v>
      </c>
      <c r="BC5" s="169">
        <f t="shared" ref="BC5:BC40" si="16">AG5*0.82*BA5</f>
        <v>78.547799999999995</v>
      </c>
      <c r="BD5" s="169">
        <f t="shared" si="6"/>
        <v>111.4872</v>
      </c>
      <c r="BE5" s="169">
        <f t="shared" si="7"/>
        <v>27.027200000000001</v>
      </c>
      <c r="BF5" s="169">
        <f t="shared" si="8"/>
        <v>2.8716399999999997</v>
      </c>
      <c r="BG5" s="169">
        <f t="shared" si="9"/>
        <v>15.2028</v>
      </c>
      <c r="BH5" s="169">
        <f t="shared" si="10"/>
        <v>54.899000000000001</v>
      </c>
      <c r="BI5" s="169">
        <f t="shared" si="11"/>
        <v>85.438500000000005</v>
      </c>
      <c r="BJ5" s="168">
        <f t="shared" si="12"/>
        <v>0.25718683273692972</v>
      </c>
      <c r="BK5" s="168">
        <f t="shared" si="13"/>
        <v>0.28995998255216271</v>
      </c>
      <c r="BL5" s="168">
        <f t="shared" si="14"/>
        <v>0.43799696969137725</v>
      </c>
      <c r="BM5" s="168">
        <f t="shared" si="15"/>
        <v>0.72795695224353996</v>
      </c>
      <c r="BN5" s="53"/>
      <c r="BP5" s="103" t="s">
        <v>369</v>
      </c>
      <c r="BQ5" s="163">
        <f>((103+106+99)/3)/100</f>
        <v>1.0266666666666666</v>
      </c>
    </row>
    <row r="6" spans="1:74" ht="30">
      <c r="A6" s="79">
        <v>4</v>
      </c>
      <c r="B6" s="76" t="s">
        <v>305</v>
      </c>
      <c r="C6" s="77" t="s">
        <v>101</v>
      </c>
      <c r="D6" s="76">
        <v>21</v>
      </c>
      <c r="E6" s="76" t="s">
        <v>58</v>
      </c>
      <c r="F6" s="76" t="s">
        <v>54</v>
      </c>
      <c r="G6" s="76">
        <v>0</v>
      </c>
      <c r="H6" s="80">
        <v>55</v>
      </c>
      <c r="I6" s="90">
        <v>11.5</v>
      </c>
      <c r="J6" s="90">
        <v>28.5</v>
      </c>
      <c r="K6" s="85">
        <f>((AJ6*1)+(AK6*2)+(AL6*3))/AF6</f>
        <v>0.21247113163972287</v>
      </c>
      <c r="L6" s="148">
        <f>(AU6/0.735)*100</f>
        <v>111.70068027210884</v>
      </c>
      <c r="O6" s="79">
        <v>6</v>
      </c>
      <c r="P6" s="76" t="s">
        <v>306</v>
      </c>
      <c r="Q6" s="76">
        <v>20</v>
      </c>
      <c r="R6" s="181">
        <f t="shared" si="0"/>
        <v>0.76629276871067442</v>
      </c>
      <c r="S6" s="107">
        <f t="shared" si="2"/>
        <v>0.44043421498563107</v>
      </c>
      <c r="T6" s="180">
        <f t="shared" si="3"/>
        <v>109.63473719885049</v>
      </c>
      <c r="U6" s="108">
        <f t="shared" si="1"/>
        <v>0.14460794837664925</v>
      </c>
      <c r="Y6" s="137"/>
      <c r="Z6" s="70"/>
      <c r="AA6" s="145">
        <v>4</v>
      </c>
      <c r="AB6" s="145" t="s">
        <v>305</v>
      </c>
      <c r="AC6" s="145">
        <v>21</v>
      </c>
      <c r="AD6" s="145" t="s">
        <v>432</v>
      </c>
      <c r="AE6" s="145">
        <v>505</v>
      </c>
      <c r="AF6" s="145">
        <v>433</v>
      </c>
      <c r="AG6" s="145">
        <v>83</v>
      </c>
      <c r="AH6" s="153">
        <f t="shared" si="4"/>
        <v>322</v>
      </c>
      <c r="AI6" s="145">
        <v>111</v>
      </c>
      <c r="AJ6" s="145">
        <v>20</v>
      </c>
      <c r="AK6" s="145">
        <v>6</v>
      </c>
      <c r="AL6" s="145">
        <v>20</v>
      </c>
      <c r="AM6" s="153">
        <v>203</v>
      </c>
      <c r="AN6" s="153">
        <v>69</v>
      </c>
      <c r="AO6" s="153">
        <v>58</v>
      </c>
      <c r="AP6" s="153">
        <v>144</v>
      </c>
      <c r="AQ6" s="153">
        <v>33</v>
      </c>
      <c r="AR6" s="153">
        <v>0.25600000000000001</v>
      </c>
      <c r="AS6" s="153">
        <v>0.35199999999999998</v>
      </c>
      <c r="AT6" s="153">
        <v>0.46899999999999997</v>
      </c>
      <c r="AU6" s="153">
        <v>0.82099999999999995</v>
      </c>
      <c r="AV6" s="53"/>
      <c r="AX6" s="145">
        <v>4</v>
      </c>
      <c r="AY6" s="145" t="s">
        <v>305</v>
      </c>
      <c r="AZ6" s="145">
        <v>21</v>
      </c>
      <c r="BA6" s="145">
        <v>1.1000000000000001</v>
      </c>
      <c r="BB6" s="169">
        <f t="shared" si="5"/>
        <v>422.12200000000001</v>
      </c>
      <c r="BC6" s="169">
        <f t="shared" si="16"/>
        <v>74.866000000000014</v>
      </c>
      <c r="BD6" s="169">
        <f t="shared" si="6"/>
        <v>100.122</v>
      </c>
      <c r="BE6" s="169">
        <f t="shared" si="7"/>
        <v>18.04</v>
      </c>
      <c r="BF6" s="169">
        <f t="shared" si="8"/>
        <v>4.6002000000000001</v>
      </c>
      <c r="BG6" s="169">
        <f t="shared" si="9"/>
        <v>18.04</v>
      </c>
      <c r="BH6" s="169">
        <f t="shared" si="10"/>
        <v>62.238000000000007</v>
      </c>
      <c r="BI6" s="169">
        <f t="shared" si="11"/>
        <v>66.990000000000009</v>
      </c>
      <c r="BJ6" s="168">
        <f t="shared" si="12"/>
        <v>0.2371873534191537</v>
      </c>
      <c r="BK6" s="168">
        <f t="shared" si="13"/>
        <v>0.29447719234605968</v>
      </c>
      <c r="BL6" s="168">
        <f t="shared" si="14"/>
        <v>0.42992878835976323</v>
      </c>
      <c r="BM6" s="168">
        <f t="shared" si="15"/>
        <v>0.72440598070582296</v>
      </c>
      <c r="BN6" s="53"/>
      <c r="BP6" s="103" t="s">
        <v>370</v>
      </c>
      <c r="BQ6" s="163">
        <f>((103+100+101)/3)/100</f>
        <v>1.0133333333333332</v>
      </c>
    </row>
    <row r="7" spans="1:74">
      <c r="A7" s="79">
        <v>6</v>
      </c>
      <c r="B7" s="76" t="s">
        <v>306</v>
      </c>
      <c r="C7" s="77" t="s">
        <v>111</v>
      </c>
      <c r="D7" s="76">
        <v>20</v>
      </c>
      <c r="E7" s="76" t="s">
        <v>62</v>
      </c>
      <c r="F7" s="76" t="s">
        <v>54</v>
      </c>
      <c r="G7" s="82">
        <v>0</v>
      </c>
      <c r="H7" s="80">
        <v>70</v>
      </c>
      <c r="I7" s="90">
        <v>12.4</v>
      </c>
      <c r="J7" s="90">
        <v>19.2</v>
      </c>
      <c r="K7" s="85">
        <f>((AJ7*1)+(AK7*2)+(AL7*3))/AF7</f>
        <v>0.14285714285714285</v>
      </c>
      <c r="L7" s="148">
        <f>(AU7/0.735)*100</f>
        <v>107.89115646258504</v>
      </c>
      <c r="O7" s="79">
        <v>7</v>
      </c>
      <c r="P7" s="76" t="s">
        <v>307</v>
      </c>
      <c r="Q7" s="76">
        <v>22</v>
      </c>
      <c r="R7" s="181">
        <f t="shared" si="0"/>
        <v>1.5828045218489095</v>
      </c>
      <c r="S7" s="107">
        <f t="shared" si="2"/>
        <v>0.52280907443486924</v>
      </c>
      <c r="T7" s="180">
        <f t="shared" si="3"/>
        <v>116.22472595478955</v>
      </c>
      <c r="U7" s="108">
        <f t="shared" si="1"/>
        <v>0.17737288206782423</v>
      </c>
      <c r="Y7" s="137"/>
      <c r="Z7" s="70"/>
      <c r="AA7" s="145">
        <v>6</v>
      </c>
      <c r="AB7" s="145" t="s">
        <v>306</v>
      </c>
      <c r="AC7" s="145">
        <v>20</v>
      </c>
      <c r="AD7" s="145" t="s">
        <v>431</v>
      </c>
      <c r="AE7" s="145">
        <v>490</v>
      </c>
      <c r="AF7" s="145">
        <v>420</v>
      </c>
      <c r="AG7" s="145">
        <v>75</v>
      </c>
      <c r="AH7" s="153">
        <f t="shared" si="4"/>
        <v>303</v>
      </c>
      <c r="AI7" s="145">
        <v>117</v>
      </c>
      <c r="AJ7" s="145">
        <v>21</v>
      </c>
      <c r="AK7" s="145">
        <v>6</v>
      </c>
      <c r="AL7" s="145">
        <v>9</v>
      </c>
      <c r="AM7" s="153">
        <v>177</v>
      </c>
      <c r="AN7" s="153">
        <v>75</v>
      </c>
      <c r="AO7" s="153">
        <v>61</v>
      </c>
      <c r="AP7" s="153">
        <v>94</v>
      </c>
      <c r="AQ7" s="153">
        <v>29</v>
      </c>
      <c r="AR7" s="153">
        <v>0.27900000000000003</v>
      </c>
      <c r="AS7" s="153">
        <v>0.372</v>
      </c>
      <c r="AT7" s="153">
        <v>0.42099999999999999</v>
      </c>
      <c r="AU7" s="153">
        <v>0.79300000000000004</v>
      </c>
      <c r="AV7" s="53"/>
      <c r="AX7" s="145">
        <v>6</v>
      </c>
      <c r="AY7" s="145" t="s">
        <v>306</v>
      </c>
      <c r="AZ7" s="145">
        <v>20</v>
      </c>
      <c r="BA7" s="145">
        <v>0.92</v>
      </c>
      <c r="BB7" s="169">
        <f t="shared" si="5"/>
        <v>391.26480000000004</v>
      </c>
      <c r="BC7" s="169">
        <f t="shared" si="16"/>
        <v>56.58</v>
      </c>
      <c r="BD7" s="169">
        <f t="shared" si="6"/>
        <v>88.264800000000008</v>
      </c>
      <c r="BE7" s="169">
        <f t="shared" si="7"/>
        <v>15.8424</v>
      </c>
      <c r="BF7" s="169">
        <f t="shared" si="8"/>
        <v>3.8474399999999997</v>
      </c>
      <c r="BG7" s="169">
        <f t="shared" si="9"/>
        <v>6.7896000000000001</v>
      </c>
      <c r="BH7" s="169">
        <f t="shared" si="10"/>
        <v>56.58</v>
      </c>
      <c r="BI7" s="169">
        <f t="shared" si="11"/>
        <v>58.926000000000002</v>
      </c>
      <c r="BJ7" s="168">
        <f t="shared" si="12"/>
        <v>0.22558839946757286</v>
      </c>
      <c r="BK7" s="168">
        <f t="shared" si="13"/>
        <v>0.28581915137967701</v>
      </c>
      <c r="BL7" s="168">
        <f t="shared" si="14"/>
        <v>0.33780416740785268</v>
      </c>
      <c r="BM7" s="168">
        <f t="shared" si="15"/>
        <v>0.62362331878752975</v>
      </c>
      <c r="BN7" s="53"/>
      <c r="BP7" s="103" t="s">
        <v>371</v>
      </c>
      <c r="BQ7" s="163">
        <f>((106+145+101)/3)/100</f>
        <v>1.1733333333333333</v>
      </c>
    </row>
    <row r="8" spans="1:74">
      <c r="A8" s="79">
        <v>7</v>
      </c>
      <c r="B8" s="76" t="s">
        <v>307</v>
      </c>
      <c r="C8" s="77" t="s">
        <v>121</v>
      </c>
      <c r="D8" s="76">
        <v>22</v>
      </c>
      <c r="E8" s="76" t="s">
        <v>58</v>
      </c>
      <c r="F8" s="76" t="s">
        <v>54</v>
      </c>
      <c r="G8" s="76">
        <v>0</v>
      </c>
      <c r="H8" s="79">
        <v>40</v>
      </c>
      <c r="I8" s="90">
        <v>9</v>
      </c>
      <c r="J8" s="90">
        <v>19.7</v>
      </c>
      <c r="K8" s="85">
        <f>((AJ8*1)+(AK8*2)+(AL8*3))/AF8</f>
        <v>0.17333333333333334</v>
      </c>
      <c r="L8" s="148">
        <f>(AU8/0.735)*100</f>
        <v>115.64625850340136</v>
      </c>
      <c r="O8" s="79">
        <v>8</v>
      </c>
      <c r="P8" s="76" t="s">
        <v>308</v>
      </c>
      <c r="Q8" s="76">
        <v>23</v>
      </c>
      <c r="R8" s="181">
        <f t="shared" si="0"/>
        <v>1.3744916167493284</v>
      </c>
      <c r="S8" s="107">
        <f t="shared" si="2"/>
        <v>0.53441183202508979</v>
      </c>
      <c r="T8" s="180">
        <f t="shared" si="3"/>
        <v>117.15294656200719</v>
      </c>
      <c r="U8" s="108">
        <f t="shared" si="1"/>
        <v>0.14569366597061947</v>
      </c>
      <c r="Y8" s="137"/>
      <c r="Z8" s="70"/>
      <c r="AA8" s="145">
        <v>7</v>
      </c>
      <c r="AB8" s="145" t="s">
        <v>307</v>
      </c>
      <c r="AC8" s="145">
        <v>22</v>
      </c>
      <c r="AD8" s="145" t="s">
        <v>432</v>
      </c>
      <c r="AE8" s="145">
        <v>335</v>
      </c>
      <c r="AF8" s="145">
        <v>300</v>
      </c>
      <c r="AG8" s="145">
        <v>60</v>
      </c>
      <c r="AH8" s="153">
        <f t="shared" si="4"/>
        <v>208</v>
      </c>
      <c r="AI8" s="145">
        <v>92</v>
      </c>
      <c r="AJ8" s="145">
        <v>28</v>
      </c>
      <c r="AK8" s="145">
        <v>0</v>
      </c>
      <c r="AL8" s="145">
        <v>8</v>
      </c>
      <c r="AM8" s="153">
        <v>144</v>
      </c>
      <c r="AN8" s="153">
        <v>38</v>
      </c>
      <c r="AO8" s="153">
        <v>30</v>
      </c>
      <c r="AP8" s="153">
        <v>66</v>
      </c>
      <c r="AQ8" s="153">
        <v>13</v>
      </c>
      <c r="AR8" s="153">
        <v>0.307</v>
      </c>
      <c r="AS8" s="153">
        <v>0.37</v>
      </c>
      <c r="AT8" s="153">
        <v>0.48</v>
      </c>
      <c r="AU8" s="153">
        <v>0.85</v>
      </c>
      <c r="AV8" s="53"/>
      <c r="AX8" s="145">
        <v>7</v>
      </c>
      <c r="AY8" s="145" t="s">
        <v>307</v>
      </c>
      <c r="AZ8" s="145">
        <v>22</v>
      </c>
      <c r="BA8" s="145">
        <v>1.03</v>
      </c>
      <c r="BB8" s="169">
        <f t="shared" si="5"/>
        <v>285.70319999999998</v>
      </c>
      <c r="BC8" s="169">
        <f t="shared" si="16"/>
        <v>50.675999999999995</v>
      </c>
      <c r="BD8" s="169">
        <f t="shared" si="6"/>
        <v>77.703199999999995</v>
      </c>
      <c r="BE8" s="169">
        <f t="shared" si="7"/>
        <v>23.648799999999998</v>
      </c>
      <c r="BF8" s="169">
        <f t="shared" si="8"/>
        <v>0</v>
      </c>
      <c r="BG8" s="169">
        <f t="shared" si="9"/>
        <v>6.7568000000000001</v>
      </c>
      <c r="BH8" s="169">
        <f t="shared" si="10"/>
        <v>32.094799999999999</v>
      </c>
      <c r="BI8" s="169">
        <f t="shared" si="11"/>
        <v>32.445</v>
      </c>
      <c r="BJ8" s="168">
        <f t="shared" si="12"/>
        <v>0.27197175250399713</v>
      </c>
      <c r="BK8" s="168">
        <f t="shared" si="13"/>
        <v>0.31349091916183908</v>
      </c>
      <c r="BL8" s="168">
        <f t="shared" si="14"/>
        <v>0.42569491696277817</v>
      </c>
      <c r="BM8" s="168">
        <f t="shared" si="15"/>
        <v>0.7391858361246173</v>
      </c>
      <c r="BN8" s="53"/>
      <c r="BP8" s="103" t="s">
        <v>372</v>
      </c>
      <c r="BQ8" s="163">
        <f>((95+86+97)/3)/100</f>
        <v>0.92666666666666675</v>
      </c>
    </row>
    <row r="9" spans="1:74">
      <c r="A9" s="79">
        <v>8</v>
      </c>
      <c r="B9" s="76" t="s">
        <v>308</v>
      </c>
      <c r="C9" s="77" t="s">
        <v>156</v>
      </c>
      <c r="D9" s="76">
        <v>23</v>
      </c>
      <c r="E9" s="76" t="s">
        <v>119</v>
      </c>
      <c r="F9" s="76" t="s">
        <v>54</v>
      </c>
      <c r="G9" s="76">
        <v>-0.7</v>
      </c>
      <c r="H9" s="79">
        <v>40</v>
      </c>
      <c r="I9" s="90">
        <v>10.199999999999999</v>
      </c>
      <c r="J9" s="90">
        <v>27.4</v>
      </c>
      <c r="K9" s="85">
        <f>((AJ9*1)+(AK9*2)+(AL9*3))/AF9</f>
        <v>0.26817042606516289</v>
      </c>
      <c r="L9" s="148">
        <f>(AU9/0.735)*100</f>
        <v>121.76870748299319</v>
      </c>
      <c r="O9" s="79">
        <v>9</v>
      </c>
      <c r="P9" s="76" t="s">
        <v>309</v>
      </c>
      <c r="Q9" s="76">
        <v>22</v>
      </c>
      <c r="R9" s="181">
        <f t="shared" si="0"/>
        <v>0.91031917597223921</v>
      </c>
      <c r="S9" s="107">
        <f t="shared" si="2"/>
        <v>0.49235717981588201</v>
      </c>
      <c r="T9" s="180">
        <f t="shared" si="3"/>
        <v>113.78857438527056</v>
      </c>
      <c r="U9" s="108">
        <f t="shared" si="1"/>
        <v>0.12003603333083103</v>
      </c>
      <c r="Y9" s="137"/>
      <c r="Z9" s="70"/>
      <c r="AA9" s="145">
        <v>8</v>
      </c>
      <c r="AB9" s="145" t="s">
        <v>308</v>
      </c>
      <c r="AC9" s="145">
        <v>23</v>
      </c>
      <c r="AD9" s="145" t="s">
        <v>429</v>
      </c>
      <c r="AE9" s="145">
        <v>452</v>
      </c>
      <c r="AF9" s="145">
        <v>399</v>
      </c>
      <c r="AG9" s="145">
        <v>69</v>
      </c>
      <c r="AH9" s="153">
        <f t="shared" si="4"/>
        <v>290</v>
      </c>
      <c r="AI9" s="145">
        <v>109</v>
      </c>
      <c r="AJ9" s="145">
        <v>26</v>
      </c>
      <c r="AK9" s="145">
        <v>3</v>
      </c>
      <c r="AL9" s="145">
        <v>25</v>
      </c>
      <c r="AM9" s="153">
        <v>216</v>
      </c>
      <c r="AN9" s="153">
        <v>73</v>
      </c>
      <c r="AO9" s="153">
        <v>46</v>
      </c>
      <c r="AP9" s="153">
        <v>124</v>
      </c>
      <c r="AQ9" s="153">
        <v>4</v>
      </c>
      <c r="AR9" s="153">
        <v>0.27300000000000002</v>
      </c>
      <c r="AS9" s="153">
        <v>0.35399999999999998</v>
      </c>
      <c r="AT9" s="153">
        <v>0.54100000000000004</v>
      </c>
      <c r="AU9" s="153">
        <v>0.89500000000000002</v>
      </c>
      <c r="AV9" s="53"/>
      <c r="AX9" s="145">
        <v>8</v>
      </c>
      <c r="AY9" s="145" t="s">
        <v>308</v>
      </c>
      <c r="AZ9" s="145">
        <v>23</v>
      </c>
      <c r="BA9" s="145">
        <v>0.97</v>
      </c>
      <c r="BB9" s="169">
        <f t="shared" si="5"/>
        <v>376.6986</v>
      </c>
      <c r="BC9" s="169">
        <f t="shared" si="16"/>
        <v>54.882599999999996</v>
      </c>
      <c r="BD9" s="169">
        <f t="shared" si="6"/>
        <v>86.698599999999999</v>
      </c>
      <c r="BE9" s="169">
        <f t="shared" si="7"/>
        <v>20.680399999999999</v>
      </c>
      <c r="BF9" s="169">
        <f t="shared" si="8"/>
        <v>2.0282699999999996</v>
      </c>
      <c r="BG9" s="169">
        <f t="shared" si="9"/>
        <v>19.884999999999998</v>
      </c>
      <c r="BH9" s="169">
        <f t="shared" si="10"/>
        <v>58.0642</v>
      </c>
      <c r="BI9" s="169">
        <f t="shared" si="11"/>
        <v>46.851000000000006</v>
      </c>
      <c r="BJ9" s="168">
        <f t="shared" si="12"/>
        <v>0.23015376218547134</v>
      </c>
      <c r="BK9" s="168">
        <f t="shared" si="13"/>
        <v>0.3005785963774294</v>
      </c>
      <c r="BL9" s="168">
        <f t="shared" si="14"/>
        <v>0.45418416739536599</v>
      </c>
      <c r="BM9" s="168">
        <f t="shared" si="15"/>
        <v>0.75476276377279539</v>
      </c>
      <c r="BN9" s="53"/>
      <c r="BP9" s="103" t="s">
        <v>373</v>
      </c>
      <c r="BQ9" s="163">
        <f>((90+99+95)/3)/100</f>
        <v>0.94666666666666677</v>
      </c>
    </row>
    <row r="10" spans="1:74" ht="30">
      <c r="A10" s="79">
        <v>9</v>
      </c>
      <c r="B10" s="76" t="s">
        <v>309</v>
      </c>
      <c r="C10" s="77" t="s">
        <v>89</v>
      </c>
      <c r="D10" s="76">
        <v>22</v>
      </c>
      <c r="E10" s="76" t="s">
        <v>58</v>
      </c>
      <c r="F10" s="76" t="s">
        <v>54</v>
      </c>
      <c r="G10" s="76">
        <v>-0.2</v>
      </c>
      <c r="H10" s="79">
        <v>70</v>
      </c>
      <c r="I10" s="90">
        <v>13.5</v>
      </c>
      <c r="J10" s="90">
        <v>22.1</v>
      </c>
      <c r="K10" s="85">
        <f>((AJ10*1)+(AK10*2)+(AL10*3))/AF10</f>
        <v>0.16470588235294117</v>
      </c>
      <c r="L10" s="148">
        <f>(AU10/0.735)*100</f>
        <v>122.31292517006804</v>
      </c>
      <c r="O10" s="79">
        <v>10</v>
      </c>
      <c r="P10" s="76" t="s">
        <v>310</v>
      </c>
      <c r="Q10" s="76">
        <v>22</v>
      </c>
      <c r="R10" s="181">
        <f t="shared" si="0"/>
        <v>2.2883068716778325</v>
      </c>
      <c r="S10" s="107">
        <f t="shared" si="2"/>
        <v>0.58722169214546061</v>
      </c>
      <c r="T10" s="180">
        <f t="shared" si="3"/>
        <v>121.37773537163685</v>
      </c>
      <c r="U10" s="108">
        <f t="shared" si="1"/>
        <v>0.19462108011801932</v>
      </c>
      <c r="Y10" s="137"/>
      <c r="Z10" s="70"/>
      <c r="AA10" s="145">
        <v>9</v>
      </c>
      <c r="AB10" s="145" t="s">
        <v>439</v>
      </c>
      <c r="AC10" s="145">
        <v>22</v>
      </c>
      <c r="AD10" s="145" t="s">
        <v>429</v>
      </c>
      <c r="AE10" s="145">
        <v>104</v>
      </c>
      <c r="AF10" s="145">
        <v>85</v>
      </c>
      <c r="AG10" s="145">
        <v>13</v>
      </c>
      <c r="AH10" s="153">
        <f t="shared" si="4"/>
        <v>58</v>
      </c>
      <c r="AI10" s="145">
        <v>27</v>
      </c>
      <c r="AJ10" s="145">
        <v>6</v>
      </c>
      <c r="AK10" s="145">
        <v>1</v>
      </c>
      <c r="AL10" s="145">
        <v>2</v>
      </c>
      <c r="AM10" s="153">
        <v>41</v>
      </c>
      <c r="AN10" s="153">
        <v>20</v>
      </c>
      <c r="AO10" s="153">
        <v>14</v>
      </c>
      <c r="AP10" s="153">
        <v>23</v>
      </c>
      <c r="AQ10" s="153">
        <v>6</v>
      </c>
      <c r="AR10" s="153">
        <v>0.318</v>
      </c>
      <c r="AS10" s="153">
        <v>0.41699999999999998</v>
      </c>
      <c r="AT10" s="153">
        <v>0.48199999999999998</v>
      </c>
      <c r="AU10" s="153">
        <v>0.89900000000000002</v>
      </c>
      <c r="AV10" s="53"/>
      <c r="AX10" s="145">
        <v>9</v>
      </c>
      <c r="AY10" s="145" t="s">
        <v>439</v>
      </c>
      <c r="AZ10" s="145">
        <v>22</v>
      </c>
      <c r="BA10" s="145">
        <v>0.87</v>
      </c>
      <c r="BB10" s="169">
        <f t="shared" si="5"/>
        <v>77.261799999999994</v>
      </c>
      <c r="BC10" s="169">
        <f t="shared" si="16"/>
        <v>9.2742000000000004</v>
      </c>
      <c r="BD10" s="169">
        <f t="shared" si="6"/>
        <v>19.261799999999997</v>
      </c>
      <c r="BE10" s="169">
        <f t="shared" si="7"/>
        <v>4.2804000000000002</v>
      </c>
      <c r="BF10" s="169">
        <f t="shared" si="8"/>
        <v>0.60638999999999998</v>
      </c>
      <c r="BG10" s="169">
        <f t="shared" si="9"/>
        <v>1.4267999999999998</v>
      </c>
      <c r="BH10" s="169">
        <f t="shared" si="10"/>
        <v>14.267999999999999</v>
      </c>
      <c r="BI10" s="169">
        <f t="shared" si="11"/>
        <v>12.789000000000001</v>
      </c>
      <c r="BJ10" s="168">
        <f t="shared" si="12"/>
        <v>0.24930560768711058</v>
      </c>
      <c r="BK10" s="168">
        <f t="shared" si="13"/>
        <v>0.32141665740020009</v>
      </c>
      <c r="BL10" s="168">
        <f t="shared" si="14"/>
        <v>0.37580511973575553</v>
      </c>
      <c r="BM10" s="168">
        <f t="shared" si="15"/>
        <v>0.69722177713595568</v>
      </c>
      <c r="BN10" s="53"/>
      <c r="BP10" s="103" t="s">
        <v>374</v>
      </c>
      <c r="BQ10" s="163">
        <v>1.1499999999999999</v>
      </c>
    </row>
    <row r="11" spans="1:74" ht="30">
      <c r="A11" s="79">
        <v>10</v>
      </c>
      <c r="B11" s="76" t="s">
        <v>310</v>
      </c>
      <c r="C11" s="77" t="s">
        <v>121</v>
      </c>
      <c r="D11" s="76">
        <v>22</v>
      </c>
      <c r="E11" s="76" t="s">
        <v>144</v>
      </c>
      <c r="F11" s="76" t="s">
        <v>54</v>
      </c>
      <c r="G11" s="76">
        <v>0</v>
      </c>
      <c r="H11" s="79">
        <v>60</v>
      </c>
      <c r="I11" s="90">
        <v>14.3</v>
      </c>
      <c r="J11" s="90">
        <v>19.899999999999999</v>
      </c>
      <c r="K11" s="85">
        <f>((AJ11*1)+(AK11*2)+(AL11*3))/AF11</f>
        <v>0.22790697674418606</v>
      </c>
      <c r="L11" s="148">
        <f>(AU11/0.735)*100</f>
        <v>135.64625850340138</v>
      </c>
      <c r="O11" s="79">
        <v>11</v>
      </c>
      <c r="P11" s="76" t="s">
        <v>311</v>
      </c>
      <c r="Q11" s="76">
        <v>21</v>
      </c>
      <c r="R11" s="181">
        <f t="shared" si="0"/>
        <v>7.1501392255106572E-2</v>
      </c>
      <c r="S11" s="107">
        <f t="shared" si="2"/>
        <v>0.34842627814621663</v>
      </c>
      <c r="T11" s="180">
        <f t="shared" si="3"/>
        <v>102.27410225169733</v>
      </c>
      <c r="U11" s="108">
        <f t="shared" si="1"/>
        <v>5.7166528583264285E-2</v>
      </c>
      <c r="Y11" s="137"/>
      <c r="Z11" s="70"/>
      <c r="AA11" s="145">
        <v>10</v>
      </c>
      <c r="AB11" s="145" t="s">
        <v>440</v>
      </c>
      <c r="AC11" s="145">
        <v>22</v>
      </c>
      <c r="AD11" s="145" t="s">
        <v>429</v>
      </c>
      <c r="AE11" s="145">
        <v>517</v>
      </c>
      <c r="AF11" s="145">
        <v>430</v>
      </c>
      <c r="AG11" s="145">
        <v>94</v>
      </c>
      <c r="AH11" s="153">
        <f t="shared" si="4"/>
        <v>288</v>
      </c>
      <c r="AI11" s="145">
        <v>142</v>
      </c>
      <c r="AJ11" s="145">
        <v>32</v>
      </c>
      <c r="AK11" s="145">
        <v>3</v>
      </c>
      <c r="AL11" s="145">
        <v>20</v>
      </c>
      <c r="AM11" s="153">
        <v>240</v>
      </c>
      <c r="AN11" s="153">
        <v>77</v>
      </c>
      <c r="AO11" s="153">
        <v>74</v>
      </c>
      <c r="AP11" s="153">
        <v>103</v>
      </c>
      <c r="AQ11" s="153">
        <v>24</v>
      </c>
      <c r="AR11" s="153">
        <v>0.33</v>
      </c>
      <c r="AS11" s="153">
        <v>0.439</v>
      </c>
      <c r="AT11" s="153">
        <v>0.55800000000000005</v>
      </c>
      <c r="AU11" s="153">
        <v>0.997</v>
      </c>
      <c r="AV11" s="53"/>
      <c r="AX11" s="145">
        <v>10</v>
      </c>
      <c r="AY11" s="145" t="s">
        <v>440</v>
      </c>
      <c r="AZ11" s="145">
        <v>22</v>
      </c>
      <c r="BA11" s="145">
        <v>1.03</v>
      </c>
      <c r="BB11" s="169">
        <f t="shared" si="5"/>
        <v>407.9332</v>
      </c>
      <c r="BC11" s="169">
        <f t="shared" si="16"/>
        <v>79.392399999999995</v>
      </c>
      <c r="BD11" s="169">
        <f t="shared" si="6"/>
        <v>119.9332</v>
      </c>
      <c r="BE11" s="169">
        <f t="shared" si="7"/>
        <v>27.027200000000001</v>
      </c>
      <c r="BF11" s="169">
        <f t="shared" si="8"/>
        <v>2.1537299999999999</v>
      </c>
      <c r="BG11" s="169">
        <f t="shared" si="9"/>
        <v>16.891999999999999</v>
      </c>
      <c r="BH11" s="169">
        <f t="shared" si="10"/>
        <v>65.034199999999998</v>
      </c>
      <c r="BI11" s="169">
        <f t="shared" si="11"/>
        <v>80.031000000000006</v>
      </c>
      <c r="BJ11" s="168">
        <f t="shared" si="12"/>
        <v>0.29400205719956113</v>
      </c>
      <c r="BK11" s="168">
        <f t="shared" si="13"/>
        <v>0.33448089542392895</v>
      </c>
      <c r="BL11" s="168">
        <f t="shared" si="14"/>
        <v>0.49504149208743009</v>
      </c>
      <c r="BM11" s="168">
        <f t="shared" si="15"/>
        <v>0.82952238751135909</v>
      </c>
      <c r="BN11" s="53"/>
      <c r="BP11" s="103" t="s">
        <v>375</v>
      </c>
      <c r="BQ11" s="163">
        <f>BV11/100</f>
        <v>0.91666666666666674</v>
      </c>
      <c r="BV11" s="164">
        <f>(91+84+100)/3</f>
        <v>91.666666666666671</v>
      </c>
    </row>
    <row r="12" spans="1:74" ht="30">
      <c r="A12" s="79">
        <v>11</v>
      </c>
      <c r="B12" s="76" t="s">
        <v>311</v>
      </c>
      <c r="C12" s="77" t="s">
        <v>67</v>
      </c>
      <c r="D12" s="76">
        <v>21</v>
      </c>
      <c r="E12" s="76" t="s">
        <v>62</v>
      </c>
      <c r="F12" s="76" t="s">
        <v>54</v>
      </c>
      <c r="G12" s="76">
        <v>0</v>
      </c>
      <c r="H12" s="79">
        <v>40</v>
      </c>
      <c r="I12" s="90">
        <v>3.7</v>
      </c>
      <c r="J12" s="90">
        <v>31.2</v>
      </c>
      <c r="K12" s="85">
        <f>((AJ12*1)+(AK12*2)+(AL12*3))/AF12</f>
        <v>0.09</v>
      </c>
      <c r="L12" s="148">
        <f>(AU12/0.735)*100</f>
        <v>70.476190476190482</v>
      </c>
      <c r="O12" s="79">
        <v>12</v>
      </c>
      <c r="P12" s="76" t="s">
        <v>312</v>
      </c>
      <c r="Q12" s="76">
        <v>22</v>
      </c>
      <c r="R12" s="181">
        <f t="shared" si="0"/>
        <v>0.52329468233953291</v>
      </c>
      <c r="S12" s="107">
        <f t="shared" si="2"/>
        <v>0.39304995904009205</v>
      </c>
      <c r="T12" s="180">
        <f t="shared" si="3"/>
        <v>105.84399672320737</v>
      </c>
      <c r="U12" s="108">
        <f t="shared" si="1"/>
        <v>0.16280722287242935</v>
      </c>
      <c r="Y12" s="137"/>
      <c r="Z12" s="70"/>
      <c r="AA12" s="145">
        <v>11</v>
      </c>
      <c r="AB12" s="145" t="s">
        <v>311</v>
      </c>
      <c r="AC12" s="145">
        <v>21</v>
      </c>
      <c r="AD12" s="145" t="s">
        <v>433</v>
      </c>
      <c r="AE12" s="145">
        <v>109</v>
      </c>
      <c r="AF12" s="145">
        <v>100</v>
      </c>
      <c r="AG12" s="145">
        <v>6</v>
      </c>
      <c r="AH12" s="153">
        <f t="shared" si="4"/>
        <v>82</v>
      </c>
      <c r="AI12" s="145">
        <v>18</v>
      </c>
      <c r="AJ12" s="145">
        <v>4</v>
      </c>
      <c r="AK12" s="145">
        <v>1</v>
      </c>
      <c r="AL12" s="145">
        <v>1</v>
      </c>
      <c r="AM12" s="153">
        <v>27</v>
      </c>
      <c r="AN12" s="153">
        <v>11</v>
      </c>
      <c r="AO12" s="153">
        <v>4</v>
      </c>
      <c r="AP12" s="153">
        <v>34</v>
      </c>
      <c r="AQ12" s="153">
        <v>4</v>
      </c>
      <c r="AR12" s="153">
        <v>0.18</v>
      </c>
      <c r="AS12" s="153">
        <v>0.248</v>
      </c>
      <c r="AT12" s="153">
        <v>0.27</v>
      </c>
      <c r="AU12" s="153">
        <v>0.51800000000000002</v>
      </c>
      <c r="AV12" s="53"/>
      <c r="AX12" s="145">
        <v>11</v>
      </c>
      <c r="AY12" s="145" t="s">
        <v>311</v>
      </c>
      <c r="AZ12" s="145">
        <v>21</v>
      </c>
      <c r="BA12" s="145">
        <v>1.1499999999999999</v>
      </c>
      <c r="BB12" s="169">
        <f t="shared" si="5"/>
        <v>98.974000000000004</v>
      </c>
      <c r="BC12" s="169">
        <f t="shared" si="16"/>
        <v>5.6579999999999995</v>
      </c>
      <c r="BD12" s="169">
        <f t="shared" si="6"/>
        <v>16.974</v>
      </c>
      <c r="BE12" s="169">
        <f t="shared" si="7"/>
        <v>3.7719999999999994</v>
      </c>
      <c r="BF12" s="169">
        <f t="shared" si="8"/>
        <v>0.80154999999999987</v>
      </c>
      <c r="BG12" s="169">
        <f t="shared" si="9"/>
        <v>0.94299999999999984</v>
      </c>
      <c r="BH12" s="169">
        <f t="shared" si="10"/>
        <v>10.372999999999999</v>
      </c>
      <c r="BI12" s="169">
        <f t="shared" si="11"/>
        <v>4.83</v>
      </c>
      <c r="BJ12" s="168">
        <f t="shared" si="12"/>
        <v>0.17149958574979288</v>
      </c>
      <c r="BK12" s="168">
        <f t="shared" si="13"/>
        <v>0.23951408777599692</v>
      </c>
      <c r="BL12" s="168">
        <f t="shared" si="14"/>
        <v>0.25439105219552605</v>
      </c>
      <c r="BM12" s="168">
        <f t="shared" si="15"/>
        <v>0.49390513997152297</v>
      </c>
      <c r="BN12" s="53"/>
      <c r="BP12" s="103" t="s">
        <v>376</v>
      </c>
      <c r="BQ12" s="163">
        <f>BV12/100</f>
        <v>1</v>
      </c>
      <c r="BV12" s="164">
        <v>100</v>
      </c>
    </row>
    <row r="13" spans="1:74">
      <c r="A13" s="79">
        <v>12</v>
      </c>
      <c r="B13" s="76" t="s">
        <v>312</v>
      </c>
      <c r="C13" s="77" t="s">
        <v>316</v>
      </c>
      <c r="D13" s="76">
        <v>22</v>
      </c>
      <c r="E13" s="76" t="s">
        <v>144</v>
      </c>
      <c r="F13" s="76" t="s">
        <v>54</v>
      </c>
      <c r="G13" s="76">
        <v>0</v>
      </c>
      <c r="H13" s="79">
        <v>60</v>
      </c>
      <c r="I13" s="90">
        <v>13.9</v>
      </c>
      <c r="J13" s="90">
        <v>25.4</v>
      </c>
      <c r="K13" s="85">
        <f>((AJ13*1)+(AK13*2)+(AL13*3))/AF13</f>
        <v>0.15841584158415842</v>
      </c>
      <c r="L13" s="148">
        <f>(AU13/0.735)*100</f>
        <v>104.08163265306123</v>
      </c>
      <c r="O13" s="79">
        <v>13</v>
      </c>
      <c r="P13" s="76" t="s">
        <v>313</v>
      </c>
      <c r="Q13" s="76">
        <v>20</v>
      </c>
      <c r="R13" s="181">
        <f t="shared" si="0"/>
        <v>0.79008554051875612</v>
      </c>
      <c r="S13" s="107">
        <f t="shared" si="2"/>
        <v>0.469989832999051</v>
      </c>
      <c r="T13" s="180">
        <f t="shared" si="3"/>
        <v>111.99918663992408</v>
      </c>
      <c r="U13" s="108">
        <f t="shared" si="1"/>
        <v>0.11971804487146853</v>
      </c>
      <c r="Y13" s="137"/>
      <c r="Z13" s="70"/>
      <c r="AA13" s="145">
        <v>12</v>
      </c>
      <c r="AB13" s="145" t="s">
        <v>312</v>
      </c>
      <c r="AC13" s="145">
        <v>22</v>
      </c>
      <c r="AD13" s="145" t="s">
        <v>433</v>
      </c>
      <c r="AE13" s="145">
        <v>122</v>
      </c>
      <c r="AF13" s="145">
        <v>101</v>
      </c>
      <c r="AG13" s="145">
        <v>20</v>
      </c>
      <c r="AH13" s="153">
        <f t="shared" si="4"/>
        <v>77</v>
      </c>
      <c r="AI13" s="145">
        <v>24</v>
      </c>
      <c r="AJ13" s="145">
        <v>7</v>
      </c>
      <c r="AK13" s="145">
        <v>0</v>
      </c>
      <c r="AL13" s="145">
        <v>3</v>
      </c>
      <c r="AM13" s="153">
        <v>40</v>
      </c>
      <c r="AN13" s="153">
        <v>12</v>
      </c>
      <c r="AO13" s="153">
        <v>17</v>
      </c>
      <c r="AP13" s="153">
        <v>31</v>
      </c>
      <c r="AQ13" s="153">
        <v>5</v>
      </c>
      <c r="AR13" s="153">
        <v>0.23799999999999999</v>
      </c>
      <c r="AS13" s="153">
        <v>0.36899999999999999</v>
      </c>
      <c r="AT13" s="153">
        <v>0.39600000000000002</v>
      </c>
      <c r="AU13" s="153">
        <v>0.76500000000000001</v>
      </c>
      <c r="AV13" s="53"/>
      <c r="AX13" s="145">
        <v>12</v>
      </c>
      <c r="AY13" s="145" t="s">
        <v>312</v>
      </c>
      <c r="AZ13" s="145">
        <v>22</v>
      </c>
      <c r="BA13" s="145">
        <v>0.95</v>
      </c>
      <c r="BB13" s="169">
        <f t="shared" si="5"/>
        <v>95.695999999999998</v>
      </c>
      <c r="BC13" s="169">
        <f t="shared" si="16"/>
        <v>15.579999999999998</v>
      </c>
      <c r="BD13" s="169">
        <f t="shared" si="6"/>
        <v>18.695999999999998</v>
      </c>
      <c r="BE13" s="169">
        <f t="shared" si="7"/>
        <v>5.4529999999999994</v>
      </c>
      <c r="BF13" s="169">
        <f t="shared" si="8"/>
        <v>0</v>
      </c>
      <c r="BG13" s="169">
        <f t="shared" si="9"/>
        <v>2.3369999999999997</v>
      </c>
      <c r="BH13" s="169">
        <f t="shared" si="10"/>
        <v>9.347999999999999</v>
      </c>
      <c r="BI13" s="169">
        <f t="shared" si="11"/>
        <v>16.9575</v>
      </c>
      <c r="BJ13" s="168">
        <f t="shared" si="12"/>
        <v>0.19536866744691522</v>
      </c>
      <c r="BK13" s="168">
        <f t="shared" si="13"/>
        <v>0.22986602623738231</v>
      </c>
      <c r="BL13" s="168">
        <f t="shared" si="14"/>
        <v>0.3256144457448587</v>
      </c>
      <c r="BM13" s="168">
        <f t="shared" si="15"/>
        <v>0.55548047198224104</v>
      </c>
      <c r="BN13" s="53"/>
      <c r="BP13" s="103" t="s">
        <v>377</v>
      </c>
      <c r="BQ13" s="163">
        <f>BV13/100</f>
        <v>1.0966666666666667</v>
      </c>
      <c r="BV13" s="164">
        <f>(108+119+102)/3</f>
        <v>109.66666666666667</v>
      </c>
    </row>
    <row r="14" spans="1:74" ht="30">
      <c r="A14" s="79">
        <v>13</v>
      </c>
      <c r="B14" s="76" t="s">
        <v>313</v>
      </c>
      <c r="C14" s="77" t="s">
        <v>156</v>
      </c>
      <c r="D14" s="76">
        <v>20</v>
      </c>
      <c r="E14" s="76" t="s">
        <v>53</v>
      </c>
      <c r="F14" s="76" t="s">
        <v>54</v>
      </c>
      <c r="G14" s="76">
        <v>0</v>
      </c>
      <c r="H14" s="79">
        <v>40</v>
      </c>
      <c r="I14" s="90">
        <v>8.6</v>
      </c>
      <c r="J14" s="90">
        <v>21.1</v>
      </c>
      <c r="K14" s="85">
        <f>((AJ14*1)+(AK14*2)+(AL14*3))/AF14</f>
        <v>0.17118997912317327</v>
      </c>
      <c r="L14" s="148">
        <f>(AU14/0.735)*100</f>
        <v>107.48299319727892</v>
      </c>
      <c r="O14" s="79">
        <v>14</v>
      </c>
      <c r="P14" s="76" t="s">
        <v>317</v>
      </c>
      <c r="Q14" s="76">
        <v>21</v>
      </c>
      <c r="R14" s="181">
        <f t="shared" si="0"/>
        <v>1.1180590410936353</v>
      </c>
      <c r="S14" s="107">
        <f t="shared" si="2"/>
        <v>0.48498069246494102</v>
      </c>
      <c r="T14" s="180">
        <f t="shared" si="3"/>
        <v>113.19845539719529</v>
      </c>
      <c r="U14" s="108">
        <f t="shared" si="1"/>
        <v>0.15402064552206837</v>
      </c>
      <c r="Y14" s="137"/>
      <c r="Z14" s="70"/>
      <c r="AA14" s="145">
        <v>13</v>
      </c>
      <c r="AB14" s="145" t="s">
        <v>313</v>
      </c>
      <c r="AC14" s="145">
        <v>20</v>
      </c>
      <c r="AD14" s="145" t="s">
        <v>431</v>
      </c>
      <c r="AE14" s="145">
        <v>532</v>
      </c>
      <c r="AF14" s="145">
        <v>479</v>
      </c>
      <c r="AG14" s="145">
        <v>68</v>
      </c>
      <c r="AH14" s="153">
        <f t="shared" si="4"/>
        <v>346</v>
      </c>
      <c r="AI14" s="145">
        <v>133</v>
      </c>
      <c r="AJ14" s="145">
        <v>25</v>
      </c>
      <c r="AK14" s="145">
        <v>0</v>
      </c>
      <c r="AL14" s="145">
        <v>19</v>
      </c>
      <c r="AM14" s="153">
        <v>215</v>
      </c>
      <c r="AN14" s="153">
        <v>65</v>
      </c>
      <c r="AO14" s="153">
        <v>46</v>
      </c>
      <c r="AP14" s="153">
        <v>112</v>
      </c>
      <c r="AQ14" s="153">
        <v>10</v>
      </c>
      <c r="AR14" s="153">
        <v>0.27800000000000002</v>
      </c>
      <c r="AS14" s="153">
        <v>0.34100000000000003</v>
      </c>
      <c r="AT14" s="153">
        <v>0.44900000000000001</v>
      </c>
      <c r="AU14" s="153">
        <v>0.79</v>
      </c>
      <c r="AV14" s="53"/>
      <c r="AX14" s="145">
        <v>13</v>
      </c>
      <c r="AY14" s="145" t="s">
        <v>313</v>
      </c>
      <c r="AZ14" s="145">
        <v>20</v>
      </c>
      <c r="BA14" s="145">
        <v>0.97</v>
      </c>
      <c r="BB14" s="169">
        <f t="shared" si="5"/>
        <v>451.78819999999996</v>
      </c>
      <c r="BC14" s="169">
        <f t="shared" si="16"/>
        <v>54.087199999999996</v>
      </c>
      <c r="BD14" s="169">
        <f t="shared" si="6"/>
        <v>105.78819999999999</v>
      </c>
      <c r="BE14" s="169">
        <f t="shared" si="7"/>
        <v>19.884999999999998</v>
      </c>
      <c r="BF14" s="169">
        <f t="shared" si="8"/>
        <v>0</v>
      </c>
      <c r="BG14" s="169">
        <f t="shared" si="9"/>
        <v>15.112599999999999</v>
      </c>
      <c r="BH14" s="169">
        <f t="shared" si="10"/>
        <v>51.700999999999993</v>
      </c>
      <c r="BI14" s="169">
        <f t="shared" si="11"/>
        <v>46.851000000000006</v>
      </c>
      <c r="BJ14" s="168">
        <f t="shared" si="12"/>
        <v>0.23415441129272521</v>
      </c>
      <c r="BK14" s="168">
        <f t="shared" si="13"/>
        <v>0.28616699270741985</v>
      </c>
      <c r="BL14" s="168">
        <f t="shared" si="14"/>
        <v>0.37852028893184908</v>
      </c>
      <c r="BM14" s="168">
        <f t="shared" si="15"/>
        <v>0.66468728163926893</v>
      </c>
      <c r="BN14" s="53"/>
      <c r="BP14" s="103" t="s">
        <v>378</v>
      </c>
      <c r="BQ14" s="163">
        <f>BV14/100</f>
        <v>1</v>
      </c>
      <c r="BV14" s="164">
        <v>100</v>
      </c>
    </row>
    <row r="15" spans="1:74" ht="30">
      <c r="A15" s="79">
        <v>14</v>
      </c>
      <c r="B15" s="76" t="s">
        <v>317</v>
      </c>
      <c r="C15" s="77" t="s">
        <v>187</v>
      </c>
      <c r="D15" s="76">
        <v>21</v>
      </c>
      <c r="E15" s="76" t="s">
        <v>62</v>
      </c>
      <c r="F15" s="76" t="s">
        <v>54</v>
      </c>
      <c r="G15" s="76">
        <v>0.2</v>
      </c>
      <c r="H15" s="79">
        <v>55</v>
      </c>
      <c r="I15" s="90">
        <v>10.4</v>
      </c>
      <c r="J15" s="90">
        <v>21.8</v>
      </c>
      <c r="K15" s="85">
        <f>((AJ15*1)+(AK15*2)+(AL15*3))/AF15</f>
        <v>0.1773049645390071</v>
      </c>
      <c r="L15" s="148">
        <f>(AU15/0.735)*100</f>
        <v>112.65306122448979</v>
      </c>
      <c r="O15" s="79">
        <v>17</v>
      </c>
      <c r="P15" s="76" t="s">
        <v>318</v>
      </c>
      <c r="Q15" s="76">
        <v>21</v>
      </c>
      <c r="R15" s="181">
        <f t="shared" si="0"/>
        <v>0.59878744406554651</v>
      </c>
      <c r="S15" s="107">
        <f t="shared" si="2"/>
        <v>0.45144114625829057</v>
      </c>
      <c r="T15" s="180">
        <f t="shared" si="3"/>
        <v>110.51529170066325</v>
      </c>
      <c r="U15" s="108">
        <f t="shared" si="1"/>
        <v>0.10353535353535354</v>
      </c>
      <c r="Y15" s="137"/>
      <c r="Z15" s="70"/>
      <c r="AA15" s="145">
        <v>14</v>
      </c>
      <c r="AB15" s="145" t="s">
        <v>317</v>
      </c>
      <c r="AC15" s="145">
        <v>21</v>
      </c>
      <c r="AD15" s="145" t="s">
        <v>430</v>
      </c>
      <c r="AE15" s="145">
        <v>317</v>
      </c>
      <c r="AF15" s="145">
        <v>282</v>
      </c>
      <c r="AG15" s="145">
        <v>51</v>
      </c>
      <c r="AH15" s="153">
        <f t="shared" si="4"/>
        <v>201</v>
      </c>
      <c r="AI15" s="145">
        <v>81</v>
      </c>
      <c r="AJ15" s="145">
        <v>9</v>
      </c>
      <c r="AK15" s="145">
        <v>1</v>
      </c>
      <c r="AL15" s="145">
        <v>13</v>
      </c>
      <c r="AM15" s="153">
        <v>131</v>
      </c>
      <c r="AN15" s="153">
        <v>39</v>
      </c>
      <c r="AO15" s="153">
        <v>33</v>
      </c>
      <c r="AP15" s="153">
        <v>69</v>
      </c>
      <c r="AQ15" s="153">
        <v>21</v>
      </c>
      <c r="AR15" s="153">
        <v>0.28699999999999998</v>
      </c>
      <c r="AS15" s="153">
        <v>0.36299999999999999</v>
      </c>
      <c r="AT15" s="153">
        <v>0.46500000000000002</v>
      </c>
      <c r="AU15" s="153">
        <v>0.82799999999999996</v>
      </c>
      <c r="AV15" s="53"/>
      <c r="AX15" s="145">
        <v>14</v>
      </c>
      <c r="AY15" s="145" t="s">
        <v>317</v>
      </c>
      <c r="AZ15" s="145">
        <v>21</v>
      </c>
      <c r="BA15" s="145">
        <v>0.98</v>
      </c>
      <c r="BB15" s="169">
        <f t="shared" si="5"/>
        <v>266.09159999999997</v>
      </c>
      <c r="BC15" s="169">
        <f t="shared" si="16"/>
        <v>40.983600000000003</v>
      </c>
      <c r="BD15" s="169">
        <f t="shared" si="6"/>
        <v>65.0916</v>
      </c>
      <c r="BE15" s="169">
        <f t="shared" si="7"/>
        <v>7.2324000000000002</v>
      </c>
      <c r="BF15" s="169">
        <f t="shared" si="8"/>
        <v>0.68305999999999989</v>
      </c>
      <c r="BG15" s="169">
        <f t="shared" si="9"/>
        <v>10.4468</v>
      </c>
      <c r="BH15" s="169">
        <f t="shared" si="10"/>
        <v>31.340399999999995</v>
      </c>
      <c r="BI15" s="169">
        <f t="shared" si="11"/>
        <v>33.957000000000001</v>
      </c>
      <c r="BJ15" s="168">
        <f t="shared" si="12"/>
        <v>0.2446210252409321</v>
      </c>
      <c r="BK15" s="168">
        <f t="shared" si="13"/>
        <v>0.29099336429392647</v>
      </c>
      <c r="BL15" s="168">
        <f t="shared" si="14"/>
        <v>0.39471565430851635</v>
      </c>
      <c r="BM15" s="168">
        <f t="shared" si="15"/>
        <v>0.68570901860244282</v>
      </c>
      <c r="BN15" s="53"/>
      <c r="BP15" s="103" t="s">
        <v>379</v>
      </c>
      <c r="BQ15" s="163">
        <f>BV15/100</f>
        <v>1</v>
      </c>
      <c r="BV15" s="164">
        <v>100</v>
      </c>
    </row>
    <row r="16" spans="1:74" ht="32">
      <c r="A16" s="79">
        <v>17</v>
      </c>
      <c r="B16" s="76" t="s">
        <v>318</v>
      </c>
      <c r="C16" s="77" t="s">
        <v>92</v>
      </c>
      <c r="D16" s="76">
        <v>21</v>
      </c>
      <c r="E16" s="76" t="s">
        <v>103</v>
      </c>
      <c r="F16" s="76" t="s">
        <v>54</v>
      </c>
      <c r="G16" s="76">
        <v>0</v>
      </c>
      <c r="H16" s="79">
        <v>40</v>
      </c>
      <c r="I16" s="90">
        <v>5.6</v>
      </c>
      <c r="J16" s="90">
        <v>20.6</v>
      </c>
      <c r="K16" s="85">
        <f>((AJ16*1)+(AK16*2)+(AL16*3))/AF16</f>
        <v>0.14655172413793102</v>
      </c>
      <c r="L16" s="148">
        <f>(AU16/0.735)*100</f>
        <v>93.877551020408163</v>
      </c>
      <c r="M16" s="150"/>
      <c r="O16" s="79">
        <v>18</v>
      </c>
      <c r="P16" s="76" t="s">
        <v>319</v>
      </c>
      <c r="Q16" s="76">
        <v>22</v>
      </c>
      <c r="R16" s="181">
        <f t="shared" si="0"/>
        <v>0.85248727013163195</v>
      </c>
      <c r="S16" s="107">
        <f t="shared" si="2"/>
        <v>0.45455097747709738</v>
      </c>
      <c r="T16" s="180">
        <f t="shared" si="3"/>
        <v>110.76407819816778</v>
      </c>
      <c r="U16" s="108">
        <f t="shared" si="1"/>
        <v>0.14399531722545608</v>
      </c>
      <c r="Y16" s="137"/>
      <c r="Z16" s="70"/>
      <c r="AA16" s="145">
        <v>17</v>
      </c>
      <c r="AB16" s="145" t="s">
        <v>318</v>
      </c>
      <c r="AC16" s="145">
        <v>21</v>
      </c>
      <c r="AD16" s="145" t="s">
        <v>433</v>
      </c>
      <c r="AE16" s="145">
        <v>126</v>
      </c>
      <c r="AF16" s="145">
        <v>116</v>
      </c>
      <c r="AG16" s="145">
        <v>13</v>
      </c>
      <c r="AH16" s="153">
        <f t="shared" si="4"/>
        <v>88</v>
      </c>
      <c r="AI16" s="145">
        <v>28</v>
      </c>
      <c r="AJ16" s="145">
        <v>9</v>
      </c>
      <c r="AK16" s="145">
        <v>1</v>
      </c>
      <c r="AL16" s="145">
        <v>2</v>
      </c>
      <c r="AM16" s="153">
        <v>45</v>
      </c>
      <c r="AN16" s="153">
        <v>14</v>
      </c>
      <c r="AO16" s="153">
        <v>7</v>
      </c>
      <c r="AP16" s="153">
        <v>26</v>
      </c>
      <c r="AQ16" s="153">
        <v>2</v>
      </c>
      <c r="AR16" s="153">
        <v>0.24099999999999999</v>
      </c>
      <c r="AS16" s="153">
        <v>0.30199999999999999</v>
      </c>
      <c r="AT16" s="153">
        <v>0.38800000000000001</v>
      </c>
      <c r="AU16" s="153">
        <v>0.69</v>
      </c>
      <c r="AV16" s="53"/>
      <c r="AX16" s="145">
        <v>17</v>
      </c>
      <c r="AY16" s="145" t="s">
        <v>318</v>
      </c>
      <c r="AZ16" s="145">
        <v>21</v>
      </c>
      <c r="BA16" s="145">
        <v>1.1000000000000001</v>
      </c>
      <c r="BB16" s="169">
        <f t="shared" si="5"/>
        <v>113.256</v>
      </c>
      <c r="BC16" s="169">
        <f t="shared" si="16"/>
        <v>11.726000000000001</v>
      </c>
      <c r="BD16" s="169">
        <f t="shared" si="6"/>
        <v>25.256</v>
      </c>
      <c r="BE16" s="169">
        <f t="shared" si="7"/>
        <v>8.1180000000000003</v>
      </c>
      <c r="BF16" s="169">
        <f t="shared" si="8"/>
        <v>0.76670000000000005</v>
      </c>
      <c r="BG16" s="169">
        <f t="shared" si="9"/>
        <v>1.804</v>
      </c>
      <c r="BH16" s="169">
        <f t="shared" si="10"/>
        <v>12.628</v>
      </c>
      <c r="BI16" s="169">
        <f t="shared" si="11"/>
        <v>8.0850000000000009</v>
      </c>
      <c r="BJ16" s="168">
        <f t="shared" si="12"/>
        <v>0.22299922299922301</v>
      </c>
      <c r="BK16" s="168">
        <f t="shared" si="13"/>
        <v>0.28278183758929304</v>
      </c>
      <c r="BL16" s="168">
        <f t="shared" si="14"/>
        <v>0.35600233100233103</v>
      </c>
      <c r="BM16" s="168">
        <f t="shared" si="15"/>
        <v>0.63878416859162401</v>
      </c>
      <c r="BN16" s="53"/>
      <c r="BP16" s="103" t="s">
        <v>380</v>
      </c>
      <c r="BQ16" s="163">
        <f>BV16/100</f>
        <v>0.92666666666666675</v>
      </c>
      <c r="BV16" s="164">
        <f>(88+94+96)/3</f>
        <v>92.666666666666671</v>
      </c>
    </row>
    <row r="17" spans="1:74">
      <c r="A17" s="79">
        <v>18</v>
      </c>
      <c r="B17" s="76" t="s">
        <v>319</v>
      </c>
      <c r="C17" s="77" t="s">
        <v>322</v>
      </c>
      <c r="D17" s="76">
        <v>22</v>
      </c>
      <c r="E17" s="76" t="s">
        <v>119</v>
      </c>
      <c r="F17" s="76" t="s">
        <v>54</v>
      </c>
      <c r="G17" s="76">
        <v>0</v>
      </c>
      <c r="H17" s="79">
        <v>60</v>
      </c>
      <c r="I17" s="90">
        <v>12.7</v>
      </c>
      <c r="J17" s="90">
        <v>11.9</v>
      </c>
      <c r="K17" s="85">
        <f>((AJ17*1)+(AK17*2)+(AL17*3))/AF17</f>
        <v>0.10476190476190476</v>
      </c>
      <c r="L17" s="148">
        <f>(AU17/0.735)*100</f>
        <v>109.52380952380953</v>
      </c>
      <c r="O17" s="79">
        <v>19</v>
      </c>
      <c r="P17" s="76" t="s">
        <v>320</v>
      </c>
      <c r="Q17" s="76">
        <v>18</v>
      </c>
      <c r="R17" s="181">
        <f t="shared" si="0"/>
        <v>0.10062098595975258</v>
      </c>
      <c r="S17" s="107">
        <f t="shared" si="2"/>
        <v>0.34911391726735452</v>
      </c>
      <c r="T17" s="180">
        <f t="shared" si="3"/>
        <v>102.32911338138837</v>
      </c>
      <c r="U17" s="108">
        <f t="shared" si="1"/>
        <v>7.8548021174691202E-2</v>
      </c>
      <c r="V17" s="155"/>
      <c r="W17" s="155"/>
      <c r="X17" s="159"/>
      <c r="Y17" s="137"/>
      <c r="Z17" s="70"/>
      <c r="AA17" s="145">
        <v>18</v>
      </c>
      <c r="AB17" s="145" t="s">
        <v>319</v>
      </c>
      <c r="AC17" s="145">
        <v>22</v>
      </c>
      <c r="AD17" s="145" t="s">
        <v>434</v>
      </c>
      <c r="AE17" s="145">
        <v>126</v>
      </c>
      <c r="AF17" s="145">
        <v>105</v>
      </c>
      <c r="AG17" s="145">
        <v>18</v>
      </c>
      <c r="AH17" s="153">
        <f t="shared" si="4"/>
        <v>74</v>
      </c>
      <c r="AI17" s="145">
        <v>31</v>
      </c>
      <c r="AJ17" s="145">
        <v>5</v>
      </c>
      <c r="AK17" s="145">
        <v>0</v>
      </c>
      <c r="AL17" s="145">
        <v>2</v>
      </c>
      <c r="AM17" s="153">
        <v>42</v>
      </c>
      <c r="AN17" s="153">
        <v>20</v>
      </c>
      <c r="AO17" s="153">
        <v>16</v>
      </c>
      <c r="AP17" s="153">
        <v>15</v>
      </c>
      <c r="AQ17" s="153">
        <v>2</v>
      </c>
      <c r="AR17" s="153">
        <v>0.29499999999999998</v>
      </c>
      <c r="AS17" s="153">
        <v>0.40500000000000003</v>
      </c>
      <c r="AT17" s="153">
        <v>0.4</v>
      </c>
      <c r="AU17" s="153">
        <v>0.80500000000000005</v>
      </c>
      <c r="AV17" s="53"/>
      <c r="AX17" s="145">
        <v>18</v>
      </c>
      <c r="AY17" s="145" t="s">
        <v>319</v>
      </c>
      <c r="AZ17" s="145">
        <v>22</v>
      </c>
      <c r="BA17" s="145">
        <v>0.96</v>
      </c>
      <c r="BB17" s="169">
        <f t="shared" si="5"/>
        <v>98.403199999999998</v>
      </c>
      <c r="BC17" s="169">
        <f t="shared" si="16"/>
        <v>14.169599999999999</v>
      </c>
      <c r="BD17" s="169">
        <f t="shared" si="6"/>
        <v>24.403199999999998</v>
      </c>
      <c r="BE17" s="169">
        <f t="shared" si="7"/>
        <v>3.9359999999999995</v>
      </c>
      <c r="BF17" s="169">
        <f t="shared" si="8"/>
        <v>0</v>
      </c>
      <c r="BG17" s="169">
        <f t="shared" si="9"/>
        <v>1.5743999999999998</v>
      </c>
      <c r="BH17" s="169">
        <f t="shared" si="10"/>
        <v>15.743999999999998</v>
      </c>
      <c r="BI17" s="169">
        <f t="shared" si="11"/>
        <v>16.128</v>
      </c>
      <c r="BJ17" s="168">
        <f t="shared" si="12"/>
        <v>0.2479919352216188</v>
      </c>
      <c r="BK17" s="168">
        <f t="shared" si="13"/>
        <v>0.30817223846134956</v>
      </c>
      <c r="BL17" s="168">
        <f t="shared" si="14"/>
        <v>0.33598907352606416</v>
      </c>
      <c r="BM17" s="168">
        <f t="shared" si="15"/>
        <v>0.64416131198741367</v>
      </c>
      <c r="BN17" s="53"/>
      <c r="BP17" s="103" t="s">
        <v>381</v>
      </c>
      <c r="BQ17" s="163">
        <f>BV17/100</f>
        <v>0.99</v>
      </c>
      <c r="BV17" s="164">
        <f>(107+90+100)/3</f>
        <v>99</v>
      </c>
    </row>
    <row r="18" spans="1:74">
      <c r="A18" s="79">
        <v>19</v>
      </c>
      <c r="B18" s="76" t="s">
        <v>320</v>
      </c>
      <c r="C18" s="77" t="s">
        <v>81</v>
      </c>
      <c r="D18" s="76">
        <v>18</v>
      </c>
      <c r="E18" s="76" t="s">
        <v>53</v>
      </c>
      <c r="F18" s="76" t="s">
        <v>54</v>
      </c>
      <c r="G18" s="76">
        <v>0</v>
      </c>
      <c r="H18" s="79">
        <v>45</v>
      </c>
      <c r="I18" s="90">
        <v>10</v>
      </c>
      <c r="J18" s="90">
        <v>20.9</v>
      </c>
      <c r="K18" s="85">
        <f>((AJ18*1)+(AK18*2)+(AL18*3))/AF18</f>
        <v>0.10436893203883495</v>
      </c>
      <c r="L18" s="148">
        <f>(AU18/0.735)*100</f>
        <v>81.496598639455783</v>
      </c>
      <c r="O18" s="79">
        <v>22</v>
      </c>
      <c r="P18" s="76" t="s">
        <v>331</v>
      </c>
      <c r="Q18" s="76">
        <v>23</v>
      </c>
      <c r="R18" s="181">
        <f t="shared" si="0"/>
        <v>1.2831148086545028</v>
      </c>
      <c r="S18" s="107">
        <f t="shared" si="2"/>
        <v>0.51020823186702891</v>
      </c>
      <c r="T18" s="180">
        <f t="shared" si="3"/>
        <v>115.21665854936232</v>
      </c>
      <c r="U18" s="108">
        <f t="shared" si="1"/>
        <v>0.15331460636824401</v>
      </c>
      <c r="V18" s="157"/>
      <c r="W18" s="156"/>
      <c r="X18" s="160"/>
      <c r="Y18" s="137"/>
      <c r="Z18" s="70"/>
      <c r="AA18" s="145">
        <v>19</v>
      </c>
      <c r="AB18" s="145" t="s">
        <v>320</v>
      </c>
      <c r="AC18" s="145">
        <v>18</v>
      </c>
      <c r="AD18" s="145" t="s">
        <v>433</v>
      </c>
      <c r="AE18" s="145">
        <v>469</v>
      </c>
      <c r="AF18" s="145">
        <v>412</v>
      </c>
      <c r="AG18" s="145">
        <v>38</v>
      </c>
      <c r="AH18" s="153">
        <f t="shared" si="4"/>
        <v>327</v>
      </c>
      <c r="AI18" s="145">
        <v>85</v>
      </c>
      <c r="AJ18" s="145">
        <v>27</v>
      </c>
      <c r="AK18" s="145">
        <v>2</v>
      </c>
      <c r="AL18" s="145">
        <v>4</v>
      </c>
      <c r="AM18" s="153">
        <v>128</v>
      </c>
      <c r="AN18" s="153">
        <v>53</v>
      </c>
      <c r="AO18" s="153">
        <v>47</v>
      </c>
      <c r="AP18" s="153">
        <v>98</v>
      </c>
      <c r="AQ18" s="153">
        <v>10</v>
      </c>
      <c r="AR18" s="153">
        <v>0.20599999999999999</v>
      </c>
      <c r="AS18" s="153">
        <v>0.28799999999999998</v>
      </c>
      <c r="AT18" s="153">
        <v>0.311</v>
      </c>
      <c r="AU18" s="153">
        <v>0.59899999999999998</v>
      </c>
      <c r="AV18" s="53"/>
      <c r="AX18" s="145">
        <v>19</v>
      </c>
      <c r="AY18" s="145" t="s">
        <v>320</v>
      </c>
      <c r="AZ18" s="145">
        <v>18</v>
      </c>
      <c r="BA18" s="145">
        <v>1</v>
      </c>
      <c r="BB18" s="169">
        <f t="shared" si="5"/>
        <v>396.7</v>
      </c>
      <c r="BC18" s="169">
        <f t="shared" si="16"/>
        <v>31.159999999999997</v>
      </c>
      <c r="BD18" s="169">
        <f t="shared" si="6"/>
        <v>69.7</v>
      </c>
      <c r="BE18" s="169">
        <f t="shared" si="7"/>
        <v>22.139999999999997</v>
      </c>
      <c r="BF18" s="169">
        <f t="shared" si="8"/>
        <v>1.3939999999999999</v>
      </c>
      <c r="BG18" s="169">
        <f t="shared" si="9"/>
        <v>3.28</v>
      </c>
      <c r="BH18" s="169">
        <f t="shared" si="10"/>
        <v>43.46</v>
      </c>
      <c r="BI18" s="169">
        <f t="shared" si="11"/>
        <v>49.35</v>
      </c>
      <c r="BJ18" s="168">
        <f t="shared" si="12"/>
        <v>0.17569952104865139</v>
      </c>
      <c r="BK18" s="168">
        <f t="shared" si="13"/>
        <v>0.23116994545565975</v>
      </c>
      <c r="BL18" s="168">
        <f t="shared" si="14"/>
        <v>0.26334257625409629</v>
      </c>
      <c r="BM18" s="168">
        <f t="shared" si="15"/>
        <v>0.49451252170975601</v>
      </c>
      <c r="BN18" s="53"/>
      <c r="BP18" s="103" t="s">
        <v>382</v>
      </c>
      <c r="BQ18" s="163">
        <f>BV18/100</f>
        <v>1.2166666666666668</v>
      </c>
      <c r="BV18" s="164">
        <f>(120+137+108)/3</f>
        <v>121.66666666666667</v>
      </c>
    </row>
    <row r="19" spans="1:74">
      <c r="A19" s="79">
        <v>22</v>
      </c>
      <c r="B19" s="76" t="s">
        <v>331</v>
      </c>
      <c r="C19" s="77" t="s">
        <v>51</v>
      </c>
      <c r="D19" s="76">
        <v>23</v>
      </c>
      <c r="E19" s="76" t="s">
        <v>144</v>
      </c>
      <c r="F19" s="76" t="s">
        <v>54</v>
      </c>
      <c r="G19" s="76">
        <v>0</v>
      </c>
      <c r="H19" s="79">
        <v>55</v>
      </c>
      <c r="I19" s="90">
        <v>11.9</v>
      </c>
      <c r="J19" s="90">
        <v>18.2</v>
      </c>
      <c r="K19" s="85">
        <f>((AJ19*1)+(AK19*2)+(AL19*3))/AF19</f>
        <v>0.20316027088036118</v>
      </c>
      <c r="L19" s="148">
        <f>(AU19/0.735)*100</f>
        <v>117.95918367346938</v>
      </c>
      <c r="O19" s="79">
        <v>23</v>
      </c>
      <c r="P19" s="76" t="s">
        <v>323</v>
      </c>
      <c r="Q19" s="76">
        <v>18</v>
      </c>
      <c r="R19" s="181">
        <f t="shared" si="0"/>
        <v>0.76224427690142771</v>
      </c>
      <c r="S19" s="107">
        <f t="shared" si="2"/>
        <v>0.46333672997338282</v>
      </c>
      <c r="T19" s="180">
        <f t="shared" si="3"/>
        <v>111.46693839787063</v>
      </c>
      <c r="U19" s="108">
        <f t="shared" si="1"/>
        <v>0.12086039334899358</v>
      </c>
      <c r="V19" s="157"/>
      <c r="W19" s="158"/>
      <c r="Y19" s="137"/>
      <c r="Z19" s="70"/>
      <c r="AA19" s="145">
        <v>22</v>
      </c>
      <c r="AB19" s="145" t="s">
        <v>331</v>
      </c>
      <c r="AC19" s="145">
        <v>23</v>
      </c>
      <c r="AD19" s="145" t="s">
        <v>431</v>
      </c>
      <c r="AE19" s="145">
        <v>523</v>
      </c>
      <c r="AF19" s="145">
        <v>443</v>
      </c>
      <c r="AG19" s="145">
        <v>78</v>
      </c>
      <c r="AH19" s="153">
        <f t="shared" si="4"/>
        <v>317</v>
      </c>
      <c r="AI19" s="145">
        <v>126</v>
      </c>
      <c r="AJ19" s="145">
        <v>19</v>
      </c>
      <c r="AK19" s="145">
        <v>4</v>
      </c>
      <c r="AL19" s="145">
        <v>21</v>
      </c>
      <c r="AM19" s="153">
        <v>216</v>
      </c>
      <c r="AN19" s="153">
        <v>71</v>
      </c>
      <c r="AO19" s="153">
        <v>62</v>
      </c>
      <c r="AP19" s="153">
        <v>95</v>
      </c>
      <c r="AQ19" s="153">
        <v>31</v>
      </c>
      <c r="AR19" s="153">
        <v>0.28399999999999997</v>
      </c>
      <c r="AS19" s="153">
        <v>0.379</v>
      </c>
      <c r="AT19" s="153">
        <v>0.48799999999999999</v>
      </c>
      <c r="AU19" s="153">
        <v>0.86699999999999999</v>
      </c>
      <c r="AV19" s="53"/>
      <c r="AX19" s="145">
        <v>22</v>
      </c>
      <c r="AY19" s="145" t="s">
        <v>331</v>
      </c>
      <c r="AZ19" s="145">
        <v>23</v>
      </c>
      <c r="BA19" s="145">
        <v>1.01</v>
      </c>
      <c r="BB19" s="169">
        <f t="shared" si="5"/>
        <v>421.35320000000002</v>
      </c>
      <c r="BC19" s="169">
        <f t="shared" si="16"/>
        <v>64.599599999999995</v>
      </c>
      <c r="BD19" s="169">
        <f t="shared" si="6"/>
        <v>104.3532</v>
      </c>
      <c r="BE19" s="169">
        <f t="shared" si="7"/>
        <v>15.735799999999998</v>
      </c>
      <c r="BF19" s="169">
        <f t="shared" si="8"/>
        <v>2.8158799999999999</v>
      </c>
      <c r="BG19" s="169">
        <f t="shared" si="9"/>
        <v>17.392199999999999</v>
      </c>
      <c r="BH19" s="169">
        <f t="shared" si="10"/>
        <v>58.802199999999999</v>
      </c>
      <c r="BI19" s="169">
        <f t="shared" si="11"/>
        <v>65.751000000000005</v>
      </c>
      <c r="BJ19" s="168">
        <f t="shared" si="12"/>
        <v>0.24766205644100958</v>
      </c>
      <c r="BK19" s="168">
        <f t="shared" si="13"/>
        <v>0.29887064888779469</v>
      </c>
      <c r="BL19" s="168">
        <f t="shared" si="14"/>
        <v>0.42220483907562584</v>
      </c>
      <c r="BM19" s="168">
        <f t="shared" si="15"/>
        <v>0.72107548796342047</v>
      </c>
      <c r="BN19" s="53"/>
      <c r="BP19" s="103" t="s">
        <v>383</v>
      </c>
      <c r="BQ19" s="163">
        <f>BV19/100</f>
        <v>1.0566666666666666</v>
      </c>
      <c r="BV19" s="164">
        <f>(103+116+98)/3</f>
        <v>105.66666666666667</v>
      </c>
    </row>
    <row r="20" spans="1:74" ht="30">
      <c r="A20" s="79">
        <v>23</v>
      </c>
      <c r="B20" s="76" t="s">
        <v>323</v>
      </c>
      <c r="C20" s="77" t="s">
        <v>131</v>
      </c>
      <c r="D20" s="76">
        <v>18</v>
      </c>
      <c r="E20" s="76" t="s">
        <v>333</v>
      </c>
      <c r="F20" s="76" t="s">
        <v>54</v>
      </c>
      <c r="G20" s="76">
        <v>0</v>
      </c>
      <c r="H20" s="79">
        <v>55</v>
      </c>
      <c r="I20" s="90">
        <v>10.3</v>
      </c>
      <c r="J20" s="90">
        <v>25.6</v>
      </c>
      <c r="K20" s="85">
        <f>((AJ20*1)+(AK20*2)+(AL20*3))/AF20</f>
        <v>0.18640350877192982</v>
      </c>
      <c r="L20" s="148">
        <f>(AU20/0.735)*100</f>
        <v>108.29931972789117</v>
      </c>
      <c r="O20" s="79">
        <v>24</v>
      </c>
      <c r="P20" s="76" t="s">
        <v>324</v>
      </c>
      <c r="Q20" s="76">
        <v>22</v>
      </c>
      <c r="R20" s="181">
        <f t="shared" si="0"/>
        <v>2.2339461914293444</v>
      </c>
      <c r="S20" s="107">
        <f t="shared" si="2"/>
        <v>0.61348406173434289</v>
      </c>
      <c r="T20" s="180">
        <f t="shared" si="3"/>
        <v>123.47872493874743</v>
      </c>
      <c r="U20" s="108">
        <f t="shared" si="1"/>
        <v>0.1729957805907173</v>
      </c>
      <c r="V20" s="157"/>
      <c r="W20" s="158"/>
      <c r="Y20" s="137"/>
      <c r="Z20" s="70"/>
      <c r="AA20" s="145">
        <v>23</v>
      </c>
      <c r="AB20" s="145" t="s">
        <v>441</v>
      </c>
      <c r="AC20" s="145">
        <v>18</v>
      </c>
      <c r="AD20" s="145" t="s">
        <v>431</v>
      </c>
      <c r="AE20" s="145">
        <v>515</v>
      </c>
      <c r="AF20" s="145">
        <v>456</v>
      </c>
      <c r="AG20" s="145">
        <v>64</v>
      </c>
      <c r="AH20" s="153">
        <f t="shared" si="4"/>
        <v>335</v>
      </c>
      <c r="AI20" s="145">
        <v>121</v>
      </c>
      <c r="AJ20" s="145">
        <v>34</v>
      </c>
      <c r="AK20" s="145">
        <v>9</v>
      </c>
      <c r="AL20" s="145">
        <v>11</v>
      </c>
      <c r="AM20" s="153">
        <v>206</v>
      </c>
      <c r="AN20" s="153">
        <v>56</v>
      </c>
      <c r="AO20" s="153">
        <v>53</v>
      </c>
      <c r="AP20" s="153">
        <v>132</v>
      </c>
      <c r="AQ20" s="153">
        <v>27</v>
      </c>
      <c r="AR20" s="153">
        <v>0.26500000000000001</v>
      </c>
      <c r="AS20" s="153">
        <v>0.34399999999999997</v>
      </c>
      <c r="AT20" s="153">
        <v>0.45200000000000001</v>
      </c>
      <c r="AU20" s="153">
        <v>0.79600000000000004</v>
      </c>
      <c r="AV20" s="53"/>
      <c r="AX20" s="145">
        <v>23</v>
      </c>
      <c r="AY20" s="145" t="s">
        <v>441</v>
      </c>
      <c r="AZ20" s="145">
        <v>18</v>
      </c>
      <c r="BA20" s="145">
        <v>1</v>
      </c>
      <c r="BB20" s="169">
        <f t="shared" si="5"/>
        <v>434.22</v>
      </c>
      <c r="BC20" s="169">
        <f t="shared" si="16"/>
        <v>52.48</v>
      </c>
      <c r="BD20" s="169">
        <f t="shared" si="6"/>
        <v>99.22</v>
      </c>
      <c r="BE20" s="169">
        <f t="shared" si="7"/>
        <v>27.88</v>
      </c>
      <c r="BF20" s="169">
        <f t="shared" si="8"/>
        <v>6.2729999999999997</v>
      </c>
      <c r="BG20" s="169">
        <f t="shared" si="9"/>
        <v>9.02</v>
      </c>
      <c r="BH20" s="169">
        <f t="shared" si="10"/>
        <v>45.919999999999995</v>
      </c>
      <c r="BI20" s="169">
        <f t="shared" si="11"/>
        <v>55.650000000000006</v>
      </c>
      <c r="BJ20" s="168">
        <f t="shared" si="12"/>
        <v>0.22850168117544101</v>
      </c>
      <c r="BK20" s="168">
        <f t="shared" si="13"/>
        <v>0.27088971425371872</v>
      </c>
      <c r="BL20" s="168">
        <f t="shared" si="14"/>
        <v>0.38392059324766248</v>
      </c>
      <c r="BM20" s="168">
        <f t="shared" si="15"/>
        <v>0.65481030750138114</v>
      </c>
      <c r="BN20" s="53"/>
      <c r="BP20" s="103" t="s">
        <v>321</v>
      </c>
      <c r="BQ20" s="163">
        <f>BV20/100</f>
        <v>0.97666666666666668</v>
      </c>
      <c r="BV20" s="164">
        <f>(95+97+101)/3</f>
        <v>97.666666666666671</v>
      </c>
    </row>
    <row r="21" spans="1:74">
      <c r="A21" s="79">
        <v>24</v>
      </c>
      <c r="B21" s="76" t="s">
        <v>324</v>
      </c>
      <c r="C21" s="77" t="s">
        <v>332</v>
      </c>
      <c r="D21" s="76">
        <v>22</v>
      </c>
      <c r="E21" s="76" t="s">
        <v>58</v>
      </c>
      <c r="F21" s="76" t="s">
        <v>54</v>
      </c>
      <c r="G21" s="76"/>
      <c r="H21" s="79">
        <v>50</v>
      </c>
      <c r="I21" s="90">
        <v>6.7</v>
      </c>
      <c r="J21" s="90">
        <v>7.6</v>
      </c>
      <c r="K21" s="85">
        <f>((AJ21*1)+(AK21*2)+(AL21*3))/AF21</f>
        <v>0.18333333333333332</v>
      </c>
      <c r="L21" s="148">
        <f>(AU21/0.735)*100</f>
        <v>133.87755102040816</v>
      </c>
      <c r="O21" s="79">
        <v>25</v>
      </c>
      <c r="P21" s="76" t="s">
        <v>325</v>
      </c>
      <c r="Q21" s="76">
        <v>22</v>
      </c>
      <c r="R21" s="181">
        <f t="shared" si="0"/>
        <v>1.3617181656333341</v>
      </c>
      <c r="S21" s="107">
        <f t="shared" si="2"/>
        <v>0.48983976942600249</v>
      </c>
      <c r="T21" s="180">
        <f t="shared" si="3"/>
        <v>113.5871815540802</v>
      </c>
      <c r="U21" s="108">
        <f t="shared" si="1"/>
        <v>0.18221963108301389</v>
      </c>
      <c r="V21" s="157"/>
      <c r="W21" s="158"/>
      <c r="Y21" s="137"/>
      <c r="Z21" s="70"/>
      <c r="AA21" s="145">
        <v>24</v>
      </c>
      <c r="AB21" s="145" t="s">
        <v>324</v>
      </c>
      <c r="AC21" s="145">
        <v>22</v>
      </c>
      <c r="AD21" s="145" t="s">
        <v>430</v>
      </c>
      <c r="AE21" s="145">
        <v>329</v>
      </c>
      <c r="AF21" s="145">
        <v>300</v>
      </c>
      <c r="AG21" s="145">
        <v>59</v>
      </c>
      <c r="AH21" s="153">
        <f t="shared" si="4"/>
        <v>187</v>
      </c>
      <c r="AI21" s="145">
        <v>113</v>
      </c>
      <c r="AJ21" s="145">
        <v>30</v>
      </c>
      <c r="AK21" s="145">
        <v>2</v>
      </c>
      <c r="AL21" s="145">
        <v>7</v>
      </c>
      <c r="AM21" s="153">
        <v>168</v>
      </c>
      <c r="AN21" s="153">
        <v>42</v>
      </c>
      <c r="AO21" s="153">
        <v>22</v>
      </c>
      <c r="AP21" s="153">
        <v>25</v>
      </c>
      <c r="AQ21" s="153">
        <v>2</v>
      </c>
      <c r="AR21" s="153">
        <v>0.377</v>
      </c>
      <c r="AS21" s="153">
        <v>0.42399999999999999</v>
      </c>
      <c r="AT21" s="153">
        <v>0.56000000000000005</v>
      </c>
      <c r="AU21" s="153">
        <v>0.98399999999999999</v>
      </c>
      <c r="AV21" s="53"/>
      <c r="AX21" s="145">
        <v>24</v>
      </c>
      <c r="AY21" s="145" t="s">
        <v>324</v>
      </c>
      <c r="AZ21" s="145">
        <v>22</v>
      </c>
      <c r="BA21" s="145">
        <v>1</v>
      </c>
      <c r="BB21" s="169">
        <f t="shared" si="5"/>
        <v>279.65999999999997</v>
      </c>
      <c r="BC21" s="169">
        <f t="shared" si="16"/>
        <v>48.379999999999995</v>
      </c>
      <c r="BD21" s="169">
        <f t="shared" si="6"/>
        <v>92.66</v>
      </c>
      <c r="BE21" s="169">
        <f t="shared" si="7"/>
        <v>24.599999999999998</v>
      </c>
      <c r="BF21" s="169">
        <f t="shared" si="8"/>
        <v>1.3939999999999999</v>
      </c>
      <c r="BG21" s="169">
        <f t="shared" si="9"/>
        <v>5.7399999999999993</v>
      </c>
      <c r="BH21" s="169">
        <f t="shared" si="10"/>
        <v>34.44</v>
      </c>
      <c r="BI21" s="169">
        <f t="shared" si="11"/>
        <v>23.1</v>
      </c>
      <c r="BJ21" s="168">
        <f t="shared" si="12"/>
        <v>0.33133090180933994</v>
      </c>
      <c r="BK21" s="168">
        <f t="shared" si="13"/>
        <v>0.37692763938315538</v>
      </c>
      <c r="BL21" s="168">
        <f t="shared" si="14"/>
        <v>0.49083887577773017</v>
      </c>
      <c r="BM21" s="168">
        <f t="shared" si="15"/>
        <v>0.86776651516088554</v>
      </c>
      <c r="BN21" s="53"/>
      <c r="BP21" s="103" t="s">
        <v>384</v>
      </c>
      <c r="BQ21" s="163">
        <f>BV21/100</f>
        <v>1</v>
      </c>
      <c r="BV21" s="164">
        <v>100</v>
      </c>
    </row>
    <row r="22" spans="1:74">
      <c r="A22" s="79">
        <v>25</v>
      </c>
      <c r="B22" s="76" t="s">
        <v>325</v>
      </c>
      <c r="C22" s="77" t="s">
        <v>121</v>
      </c>
      <c r="D22" s="76">
        <v>22</v>
      </c>
      <c r="E22" s="76" t="s">
        <v>53</v>
      </c>
      <c r="F22" s="76" t="s">
        <v>54</v>
      </c>
      <c r="G22" s="76">
        <v>0</v>
      </c>
      <c r="H22" s="79">
        <v>45</v>
      </c>
      <c r="I22" s="90">
        <v>13.5</v>
      </c>
      <c r="J22" s="90">
        <v>23</v>
      </c>
      <c r="K22" s="85">
        <f>((AJ22*1)+(AK22*2)+(AL22*3))/AF22</f>
        <v>0.14519906323185011</v>
      </c>
      <c r="L22" s="148">
        <f>(AU22/0.735)*100</f>
        <v>111.42857142857143</v>
      </c>
      <c r="O22" s="79">
        <v>26</v>
      </c>
      <c r="P22" s="76" t="s">
        <v>326</v>
      </c>
      <c r="Q22" s="76">
        <v>20</v>
      </c>
      <c r="R22" s="181">
        <f t="shared" si="0"/>
        <v>0.82719514065179867</v>
      </c>
      <c r="S22" s="107">
        <f t="shared" si="2"/>
        <v>0.45699387230924399</v>
      </c>
      <c r="T22" s="180">
        <f t="shared" si="3"/>
        <v>110.95950978473952</v>
      </c>
      <c r="U22" s="108">
        <f t="shared" si="1"/>
        <v>0.13723160929293315</v>
      </c>
      <c r="V22" s="157"/>
      <c r="W22" s="158"/>
      <c r="Y22" s="137"/>
      <c r="Z22" s="70"/>
      <c r="AA22" s="145">
        <v>25</v>
      </c>
      <c r="AB22" s="145" t="s">
        <v>325</v>
      </c>
      <c r="AC22" s="145">
        <v>22</v>
      </c>
      <c r="AD22" s="145" t="s">
        <v>431</v>
      </c>
      <c r="AE22" s="145">
        <v>505</v>
      </c>
      <c r="AF22" s="145">
        <v>427</v>
      </c>
      <c r="AG22" s="145">
        <v>88</v>
      </c>
      <c r="AH22" s="153">
        <f t="shared" si="4"/>
        <v>304</v>
      </c>
      <c r="AI22" s="145">
        <v>123</v>
      </c>
      <c r="AJ22" s="145">
        <v>23</v>
      </c>
      <c r="AK22" s="145">
        <v>0</v>
      </c>
      <c r="AL22" s="145">
        <v>13</v>
      </c>
      <c r="AM22" s="153">
        <v>185</v>
      </c>
      <c r="AN22" s="153">
        <v>78</v>
      </c>
      <c r="AO22" s="153">
        <v>68</v>
      </c>
      <c r="AP22" s="153">
        <v>116</v>
      </c>
      <c r="AQ22" s="153">
        <v>12</v>
      </c>
      <c r="AR22" s="153">
        <v>0.28799999999999998</v>
      </c>
      <c r="AS22" s="153">
        <v>0.38600000000000001</v>
      </c>
      <c r="AT22" s="153">
        <v>0.433</v>
      </c>
      <c r="AU22" s="153">
        <v>0.81899999999999995</v>
      </c>
      <c r="AV22" s="53"/>
      <c r="AX22" s="145">
        <v>25</v>
      </c>
      <c r="AY22" s="145" t="s">
        <v>325</v>
      </c>
      <c r="AZ22" s="145">
        <v>22</v>
      </c>
      <c r="BA22" s="145">
        <v>1.03</v>
      </c>
      <c r="BB22" s="169">
        <f t="shared" si="5"/>
        <v>407.88580000000002</v>
      </c>
      <c r="BC22" s="169">
        <f t="shared" si="16"/>
        <v>74.324799999999996</v>
      </c>
      <c r="BD22" s="169">
        <f t="shared" si="6"/>
        <v>103.8858</v>
      </c>
      <c r="BE22" s="169">
        <f t="shared" si="7"/>
        <v>19.425799999999999</v>
      </c>
      <c r="BF22" s="169">
        <f t="shared" si="8"/>
        <v>0</v>
      </c>
      <c r="BG22" s="169">
        <f t="shared" si="9"/>
        <v>10.979800000000001</v>
      </c>
      <c r="BH22" s="169">
        <f t="shared" si="10"/>
        <v>65.878799999999998</v>
      </c>
      <c r="BI22" s="169">
        <f t="shared" si="11"/>
        <v>73.542000000000002</v>
      </c>
      <c r="BJ22" s="168">
        <f t="shared" si="12"/>
        <v>0.25469334799103083</v>
      </c>
      <c r="BK22" s="168">
        <f t="shared" si="13"/>
        <v>0.31018189804398483</v>
      </c>
      <c r="BL22" s="168">
        <f t="shared" si="14"/>
        <v>0.38307536079951798</v>
      </c>
      <c r="BM22" s="168">
        <f t="shared" si="15"/>
        <v>0.69325725884350287</v>
      </c>
      <c r="BN22" s="53"/>
      <c r="BP22" s="103" t="s">
        <v>385</v>
      </c>
      <c r="BQ22" s="163">
        <f>BV22/100</f>
        <v>0.97666666666666668</v>
      </c>
      <c r="BV22" s="164">
        <f>(98+94+101)/3</f>
        <v>97.666666666666671</v>
      </c>
    </row>
    <row r="23" spans="1:74">
      <c r="A23" s="79">
        <v>26</v>
      </c>
      <c r="B23" s="76" t="s">
        <v>326</v>
      </c>
      <c r="C23" s="77" t="s">
        <v>64</v>
      </c>
      <c r="D23" s="76">
        <v>20</v>
      </c>
      <c r="E23" s="76" t="s">
        <v>58</v>
      </c>
      <c r="F23" s="76" t="s">
        <v>54</v>
      </c>
      <c r="G23" s="76">
        <v>0</v>
      </c>
      <c r="H23" s="79">
        <v>50</v>
      </c>
      <c r="I23" s="90">
        <v>12.1</v>
      </c>
      <c r="J23" s="90">
        <v>21.6</v>
      </c>
      <c r="K23" s="85">
        <f>((AJ23*1)+(AK23*2)+(AL23*3))/AF23</f>
        <v>0.18481012658227849</v>
      </c>
      <c r="L23" s="148">
        <f>(AU23/0.735)*100</f>
        <v>110.47619047619048</v>
      </c>
      <c r="O23" s="79">
        <v>27</v>
      </c>
      <c r="P23" s="76" t="s">
        <v>327</v>
      </c>
      <c r="Q23" s="76">
        <v>19</v>
      </c>
      <c r="R23" s="181">
        <f t="shared" si="0"/>
        <v>0.70915795965132244</v>
      </c>
      <c r="S23" s="107">
        <f t="shared" si="2"/>
        <v>0.41162109686182563</v>
      </c>
      <c r="T23" s="180">
        <f t="shared" si="3"/>
        <v>107.32968774894604</v>
      </c>
      <c r="U23" s="108">
        <f t="shared" si="1"/>
        <v>0.17591173766472568</v>
      </c>
      <c r="V23" s="157"/>
      <c r="W23" s="158"/>
      <c r="Y23" s="137"/>
      <c r="Z23" s="70"/>
      <c r="AA23" s="145">
        <v>26</v>
      </c>
      <c r="AB23" s="145" t="s">
        <v>326</v>
      </c>
      <c r="AC23" s="145">
        <v>20</v>
      </c>
      <c r="AD23" s="145" t="s">
        <v>429</v>
      </c>
      <c r="AE23" s="145">
        <v>462</v>
      </c>
      <c r="AF23" s="145">
        <v>395</v>
      </c>
      <c r="AG23" s="145">
        <v>64</v>
      </c>
      <c r="AH23" s="153">
        <f t="shared" si="4"/>
        <v>292</v>
      </c>
      <c r="AI23" s="145">
        <v>103</v>
      </c>
      <c r="AJ23" s="145">
        <v>28</v>
      </c>
      <c r="AK23" s="145">
        <v>6</v>
      </c>
      <c r="AL23" s="145">
        <v>11</v>
      </c>
      <c r="AM23" s="153">
        <v>176</v>
      </c>
      <c r="AN23" s="153">
        <v>60</v>
      </c>
      <c r="AO23" s="153">
        <v>56</v>
      </c>
      <c r="AP23" s="153">
        <v>100</v>
      </c>
      <c r="AQ23" s="153">
        <v>23</v>
      </c>
      <c r="AR23" s="153">
        <v>0.26100000000000001</v>
      </c>
      <c r="AS23" s="153">
        <v>0.36599999999999999</v>
      </c>
      <c r="AT23" s="153">
        <v>0.44600000000000001</v>
      </c>
      <c r="AU23" s="153">
        <v>0.81200000000000006</v>
      </c>
      <c r="AV23" s="53"/>
      <c r="AX23" s="145">
        <v>26</v>
      </c>
      <c r="AY23" s="145" t="s">
        <v>326</v>
      </c>
      <c r="AZ23" s="145">
        <v>20</v>
      </c>
      <c r="BA23" s="145">
        <v>0.98</v>
      </c>
      <c r="BB23" s="169">
        <f t="shared" si="5"/>
        <v>374.77080000000001</v>
      </c>
      <c r="BC23" s="169">
        <f t="shared" si="16"/>
        <v>51.430399999999999</v>
      </c>
      <c r="BD23" s="169">
        <f t="shared" si="6"/>
        <v>82.770799999999994</v>
      </c>
      <c r="BE23" s="169">
        <f t="shared" si="7"/>
        <v>22.500799999999998</v>
      </c>
      <c r="BF23" s="169">
        <f t="shared" si="8"/>
        <v>4.0983599999999996</v>
      </c>
      <c r="BG23" s="169">
        <f t="shared" si="9"/>
        <v>8.839599999999999</v>
      </c>
      <c r="BH23" s="169">
        <f t="shared" si="10"/>
        <v>48.215999999999994</v>
      </c>
      <c r="BI23" s="169">
        <f t="shared" si="11"/>
        <v>57.624000000000002</v>
      </c>
      <c r="BJ23" s="168">
        <f t="shared" si="12"/>
        <v>0.2208571212058143</v>
      </c>
      <c r="BK23" s="168">
        <f t="shared" si="13"/>
        <v>0.27254235651799746</v>
      </c>
      <c r="BL23" s="168">
        <f t="shared" si="14"/>
        <v>0.37352728654420247</v>
      </c>
      <c r="BM23" s="168">
        <f t="shared" si="15"/>
        <v>0.64606964306219994</v>
      </c>
      <c r="BN23" s="53"/>
      <c r="BP23" s="103" t="s">
        <v>386</v>
      </c>
      <c r="BQ23" s="163">
        <f>BV23/100</f>
        <v>0.95333333333333325</v>
      </c>
      <c r="BV23" s="164">
        <f>(99+88+99)/3</f>
        <v>95.333333333333329</v>
      </c>
    </row>
    <row r="24" spans="1:74">
      <c r="A24" s="79">
        <v>27</v>
      </c>
      <c r="B24" s="76" t="s">
        <v>327</v>
      </c>
      <c r="C24" s="77" t="s">
        <v>60</v>
      </c>
      <c r="D24" s="76">
        <v>19</v>
      </c>
      <c r="E24" s="76" t="s">
        <v>58</v>
      </c>
      <c r="F24" s="76" t="s">
        <v>54</v>
      </c>
      <c r="G24" s="76">
        <v>0</v>
      </c>
      <c r="H24" s="79">
        <v>50</v>
      </c>
      <c r="I24" s="90">
        <v>14.9</v>
      </c>
      <c r="J24" s="90">
        <v>17.3</v>
      </c>
      <c r="K24" s="85">
        <f>((AJ24*1)+(AK24*2)+(AL24*3))/AF24</f>
        <v>0.11313868613138686</v>
      </c>
      <c r="L24" s="148">
        <f>(AU24/0.735)*100</f>
        <v>104.62585034013605</v>
      </c>
      <c r="O24" s="79">
        <v>28</v>
      </c>
      <c r="P24" s="76" t="s">
        <v>328</v>
      </c>
      <c r="Q24" s="76">
        <v>18</v>
      </c>
      <c r="R24" s="181">
        <f t="shared" si="0"/>
        <v>0.93045245603294691</v>
      </c>
      <c r="S24" s="107">
        <f t="shared" si="2"/>
        <v>0.43716208336225948</v>
      </c>
      <c r="T24" s="180">
        <f t="shared" si="3"/>
        <v>109.37296666898075</v>
      </c>
      <c r="U24" s="108">
        <f t="shared" si="1"/>
        <v>0.18049053175878693</v>
      </c>
      <c r="V24" s="157"/>
      <c r="W24" s="158"/>
      <c r="Y24" s="137"/>
      <c r="Z24" s="70"/>
      <c r="AA24" s="145">
        <v>27</v>
      </c>
      <c r="AB24" s="145" t="s">
        <v>327</v>
      </c>
      <c r="AC24" s="145">
        <v>19</v>
      </c>
      <c r="AD24" s="145" t="s">
        <v>429</v>
      </c>
      <c r="AE24" s="145">
        <v>336</v>
      </c>
      <c r="AF24" s="145">
        <v>274</v>
      </c>
      <c r="AG24" s="145">
        <v>56</v>
      </c>
      <c r="AH24" s="153">
        <f t="shared" si="4"/>
        <v>202</v>
      </c>
      <c r="AI24" s="145">
        <v>72</v>
      </c>
      <c r="AJ24" s="145">
        <v>17</v>
      </c>
      <c r="AK24" s="145">
        <v>1</v>
      </c>
      <c r="AL24" s="145">
        <v>4</v>
      </c>
      <c r="AM24" s="153">
        <v>103</v>
      </c>
      <c r="AN24" s="153">
        <v>37</v>
      </c>
      <c r="AO24" s="153">
        <v>50</v>
      </c>
      <c r="AP24" s="153">
        <v>58</v>
      </c>
      <c r="AQ24" s="153">
        <v>15</v>
      </c>
      <c r="AR24" s="153">
        <v>0.26300000000000001</v>
      </c>
      <c r="AS24" s="153">
        <v>0.39300000000000002</v>
      </c>
      <c r="AT24" s="153">
        <v>0.376</v>
      </c>
      <c r="AU24" s="153">
        <v>0.76900000000000002</v>
      </c>
      <c r="AV24" s="53"/>
      <c r="AX24" s="145">
        <v>27</v>
      </c>
      <c r="AY24" s="145" t="s">
        <v>327</v>
      </c>
      <c r="AZ24" s="145">
        <v>19</v>
      </c>
      <c r="BA24" s="145">
        <v>1</v>
      </c>
      <c r="BB24" s="169">
        <f t="shared" si="5"/>
        <v>261.04000000000002</v>
      </c>
      <c r="BC24" s="169">
        <f t="shared" si="16"/>
        <v>45.919999999999995</v>
      </c>
      <c r="BD24" s="169">
        <f t="shared" si="6"/>
        <v>59.04</v>
      </c>
      <c r="BE24" s="169">
        <f t="shared" si="7"/>
        <v>13.94</v>
      </c>
      <c r="BF24" s="169">
        <f t="shared" si="8"/>
        <v>0.69699999999999995</v>
      </c>
      <c r="BG24" s="169">
        <f t="shared" si="9"/>
        <v>3.28</v>
      </c>
      <c r="BH24" s="169">
        <f t="shared" si="10"/>
        <v>30.34</v>
      </c>
      <c r="BI24" s="169">
        <f t="shared" si="11"/>
        <v>52.5</v>
      </c>
      <c r="BJ24" s="168">
        <f t="shared" si="12"/>
        <v>0.22617223414036161</v>
      </c>
      <c r="BK24" s="168">
        <f t="shared" si="13"/>
        <v>0.25991624985460043</v>
      </c>
      <c r="BL24" s="168">
        <f t="shared" si="14"/>
        <v>0.32260956175298799</v>
      </c>
      <c r="BM24" s="168">
        <f t="shared" si="15"/>
        <v>0.58252581160758843</v>
      </c>
      <c r="BN24" s="53"/>
      <c r="BP24" s="103" t="s">
        <v>387</v>
      </c>
      <c r="BQ24" s="163">
        <f>BV24/100</f>
        <v>1</v>
      </c>
      <c r="BV24" s="164">
        <v>100</v>
      </c>
    </row>
    <row r="25" spans="1:74" ht="30">
      <c r="A25" s="79">
        <v>28</v>
      </c>
      <c r="B25" s="76" t="s">
        <v>328</v>
      </c>
      <c r="C25" s="77" t="s">
        <v>81</v>
      </c>
      <c r="D25" s="76">
        <v>18</v>
      </c>
      <c r="E25" s="76" t="s">
        <v>58</v>
      </c>
      <c r="F25" s="76" t="s">
        <v>54</v>
      </c>
      <c r="G25" s="76">
        <v>0</v>
      </c>
      <c r="H25" s="79">
        <v>60</v>
      </c>
      <c r="I25" s="90">
        <v>13.9</v>
      </c>
      <c r="J25" s="90">
        <v>23.3</v>
      </c>
      <c r="K25" s="85">
        <f>((AJ25*1)+(AK25*2)+(AL25*3))/AF25</f>
        <v>0.20401337792642141</v>
      </c>
      <c r="L25" s="148">
        <f>(AU25/0.735)*100</f>
        <v>109.1156462585034</v>
      </c>
      <c r="O25" s="79">
        <v>29</v>
      </c>
      <c r="P25" s="76" t="s">
        <v>329</v>
      </c>
      <c r="Q25" s="76">
        <v>21</v>
      </c>
      <c r="R25" s="181">
        <f t="shared" si="0"/>
        <v>3.7163563518074101</v>
      </c>
      <c r="S25" s="107">
        <f t="shared" si="2"/>
        <v>0.60205997828409985</v>
      </c>
      <c r="T25" s="180">
        <f t="shared" si="3"/>
        <v>122.56479826272799</v>
      </c>
      <c r="U25" s="108">
        <f t="shared" si="1"/>
        <v>0.29944923371647514</v>
      </c>
      <c r="V25" s="157"/>
      <c r="W25" s="158"/>
      <c r="Y25" s="137"/>
      <c r="Z25" s="70"/>
      <c r="AA25" s="145">
        <v>28</v>
      </c>
      <c r="AB25" s="145" t="s">
        <v>328</v>
      </c>
      <c r="AC25" s="145">
        <v>18</v>
      </c>
      <c r="AD25" s="145" t="s">
        <v>434</v>
      </c>
      <c r="AE25" s="145">
        <v>360</v>
      </c>
      <c r="AF25" s="145">
        <v>299</v>
      </c>
      <c r="AG25" s="145">
        <v>63</v>
      </c>
      <c r="AH25" s="153">
        <f t="shared" si="4"/>
        <v>228</v>
      </c>
      <c r="AI25" s="145">
        <v>71</v>
      </c>
      <c r="AJ25" s="145">
        <v>22</v>
      </c>
      <c r="AK25" s="145">
        <v>3</v>
      </c>
      <c r="AL25" s="145">
        <v>11</v>
      </c>
      <c r="AM25" s="153">
        <v>132</v>
      </c>
      <c r="AN25" s="153">
        <v>38</v>
      </c>
      <c r="AO25" s="153">
        <v>50</v>
      </c>
      <c r="AP25" s="153">
        <v>84</v>
      </c>
      <c r="AQ25" s="153">
        <v>13</v>
      </c>
      <c r="AR25" s="153">
        <v>0.23699999999999999</v>
      </c>
      <c r="AS25" s="153">
        <v>0.36099999999999999</v>
      </c>
      <c r="AT25" s="153">
        <v>0.441</v>
      </c>
      <c r="AU25" s="153">
        <v>0.80200000000000005</v>
      </c>
      <c r="AV25" s="53"/>
      <c r="AX25" s="145">
        <v>28</v>
      </c>
      <c r="AY25" s="145" t="s">
        <v>328</v>
      </c>
      <c r="AZ25" s="145">
        <v>18</v>
      </c>
      <c r="BA25" s="145">
        <v>1</v>
      </c>
      <c r="BB25" s="169">
        <f t="shared" si="5"/>
        <v>286.22000000000003</v>
      </c>
      <c r="BC25" s="169">
        <f t="shared" si="16"/>
        <v>51.66</v>
      </c>
      <c r="BD25" s="169">
        <f t="shared" si="6"/>
        <v>58.22</v>
      </c>
      <c r="BE25" s="169">
        <f t="shared" si="7"/>
        <v>18.04</v>
      </c>
      <c r="BF25" s="169">
        <f t="shared" si="8"/>
        <v>2.0909999999999997</v>
      </c>
      <c r="BG25" s="169">
        <f t="shared" si="9"/>
        <v>9.02</v>
      </c>
      <c r="BH25" s="169">
        <f t="shared" si="10"/>
        <v>31.159999999999997</v>
      </c>
      <c r="BI25" s="169">
        <f t="shared" si="11"/>
        <v>52.5</v>
      </c>
      <c r="BJ25" s="168">
        <f t="shared" si="12"/>
        <v>0.20340996436307732</v>
      </c>
      <c r="BK25" s="168">
        <f t="shared" si="13"/>
        <v>0.24164593922353195</v>
      </c>
      <c r="BL25" s="168">
        <f t="shared" si="14"/>
        <v>0.375592201802809</v>
      </c>
      <c r="BM25" s="168">
        <f t="shared" si="15"/>
        <v>0.617238141026341</v>
      </c>
      <c r="BN25" s="53"/>
      <c r="BP25" s="103" t="s">
        <v>388</v>
      </c>
      <c r="BQ25" s="163">
        <f>BV25/100</f>
        <v>1</v>
      </c>
      <c r="BV25" s="164">
        <v>100</v>
      </c>
    </row>
    <row r="26" spans="1:74" ht="30">
      <c r="A26" s="79">
        <v>29</v>
      </c>
      <c r="B26" s="76" t="s">
        <v>329</v>
      </c>
      <c r="C26" s="77" t="s">
        <v>56</v>
      </c>
      <c r="D26" s="76">
        <v>21</v>
      </c>
      <c r="E26" s="76" t="s">
        <v>62</v>
      </c>
      <c r="F26" s="76" t="s">
        <v>54</v>
      </c>
      <c r="G26" s="76">
        <v>0</v>
      </c>
      <c r="H26" s="79">
        <v>55</v>
      </c>
      <c r="I26" s="90">
        <v>24.4</v>
      </c>
      <c r="J26" s="90">
        <v>29.7</v>
      </c>
      <c r="K26" s="85">
        <f>((AJ26*1)+(AK26*2)+(AL26*3))/AF26</f>
        <v>0.28662420382165604</v>
      </c>
      <c r="L26" s="148">
        <f>(AU26/0.735)*100</f>
        <v>139.59183673469389</v>
      </c>
      <c r="O26" s="79">
        <v>31</v>
      </c>
      <c r="P26" s="76" t="s">
        <v>330</v>
      </c>
      <c r="Q26" s="76">
        <v>20</v>
      </c>
      <c r="R26" s="181">
        <f t="shared" si="0"/>
        <v>0.942807470893259</v>
      </c>
      <c r="S26" s="107">
        <f t="shared" si="2"/>
        <v>0.46570864953770919</v>
      </c>
      <c r="T26" s="180">
        <f t="shared" si="3"/>
        <v>111.65669196301673</v>
      </c>
      <c r="U26" s="108">
        <f t="shared" si="1"/>
        <v>0.14705676422288139</v>
      </c>
      <c r="V26" s="157"/>
      <c r="W26" s="158"/>
      <c r="Y26" s="137"/>
      <c r="Z26" s="70"/>
      <c r="AA26" s="145">
        <v>29</v>
      </c>
      <c r="AB26" s="145" t="s">
        <v>329</v>
      </c>
      <c r="AC26" s="145">
        <v>21</v>
      </c>
      <c r="AD26" s="145" t="s">
        <v>430</v>
      </c>
      <c r="AE26" s="145">
        <v>209</v>
      </c>
      <c r="AF26" s="145">
        <v>157</v>
      </c>
      <c r="AG26" s="145">
        <v>47</v>
      </c>
      <c r="AH26" s="153">
        <f t="shared" si="4"/>
        <v>113</v>
      </c>
      <c r="AI26" s="145">
        <v>44</v>
      </c>
      <c r="AJ26" s="145">
        <v>14</v>
      </c>
      <c r="AK26" s="145">
        <v>2</v>
      </c>
      <c r="AL26" s="145">
        <v>9</v>
      </c>
      <c r="AM26" s="153">
        <v>89</v>
      </c>
      <c r="AN26" s="153">
        <v>27</v>
      </c>
      <c r="AO26" s="153">
        <v>51</v>
      </c>
      <c r="AP26" s="153">
        <v>62</v>
      </c>
      <c r="AQ26" s="153">
        <v>9</v>
      </c>
      <c r="AR26" s="153">
        <v>0.28000000000000003</v>
      </c>
      <c r="AS26" s="153">
        <v>0.45900000000000002</v>
      </c>
      <c r="AT26" s="153">
        <v>0.56699999999999995</v>
      </c>
      <c r="AU26" s="153">
        <v>1.026</v>
      </c>
      <c r="AV26" s="53"/>
      <c r="AX26" s="145">
        <v>29</v>
      </c>
      <c r="AY26" s="145" t="s">
        <v>329</v>
      </c>
      <c r="AZ26" s="145">
        <v>21</v>
      </c>
      <c r="BA26" s="145">
        <v>1.22</v>
      </c>
      <c r="BB26" s="169">
        <f t="shared" si="5"/>
        <v>157.01759999999999</v>
      </c>
      <c r="BC26" s="169">
        <f t="shared" si="16"/>
        <v>47.018799999999999</v>
      </c>
      <c r="BD26" s="169">
        <f t="shared" si="6"/>
        <v>44.017599999999995</v>
      </c>
      <c r="BE26" s="169">
        <f t="shared" si="7"/>
        <v>14.005599999999998</v>
      </c>
      <c r="BF26" s="169">
        <f t="shared" si="8"/>
        <v>1.7006799999999997</v>
      </c>
      <c r="BG26" s="169">
        <f t="shared" si="9"/>
        <v>9.0036000000000005</v>
      </c>
      <c r="BH26" s="169">
        <f t="shared" si="10"/>
        <v>27.010799999999996</v>
      </c>
      <c r="BI26" s="169">
        <f t="shared" si="11"/>
        <v>65.331000000000003</v>
      </c>
      <c r="BJ26" s="168">
        <f t="shared" si="12"/>
        <v>0.2803354528409554</v>
      </c>
      <c r="BK26" s="168">
        <f t="shared" si="13"/>
        <v>0.28484348294068718</v>
      </c>
      <c r="BL26" s="168">
        <f t="shared" si="14"/>
        <v>0.56321940979864682</v>
      </c>
      <c r="BM26" s="168">
        <f t="shared" si="15"/>
        <v>0.848062892739334</v>
      </c>
      <c r="BN26" s="53"/>
      <c r="BP26" s="103" t="s">
        <v>389</v>
      </c>
      <c r="BQ26" s="163">
        <f>BV26/100</f>
        <v>1</v>
      </c>
      <c r="BV26" s="164">
        <v>100</v>
      </c>
    </row>
    <row r="27" spans="1:74" ht="30">
      <c r="A27" s="79">
        <v>31</v>
      </c>
      <c r="B27" s="76" t="s">
        <v>330</v>
      </c>
      <c r="C27" s="77" t="s">
        <v>111</v>
      </c>
      <c r="D27" s="76">
        <v>20</v>
      </c>
      <c r="E27" s="76" t="s">
        <v>58</v>
      </c>
      <c r="F27" s="76" t="s">
        <v>54</v>
      </c>
      <c r="G27" s="76">
        <v>0</v>
      </c>
      <c r="H27" s="79">
        <v>50</v>
      </c>
      <c r="I27" s="90">
        <v>14</v>
      </c>
      <c r="J27" s="90">
        <v>8.5</v>
      </c>
      <c r="K27" s="85">
        <f>((AJ27*1)+(AK27*2)+(AL27*3))/AF27</f>
        <v>0.14338235294117646</v>
      </c>
      <c r="L27" s="148">
        <f>(AU27/0.735)*100</f>
        <v>116.05442176870748</v>
      </c>
      <c r="O27" s="79">
        <v>34</v>
      </c>
      <c r="P27" s="83" t="s">
        <v>334</v>
      </c>
      <c r="Q27" s="76">
        <v>22</v>
      </c>
      <c r="R27" s="181">
        <f t="shared" si="0"/>
        <v>0.98015143514401548</v>
      </c>
      <c r="S27" s="107">
        <f t="shared" si="2"/>
        <v>0.49521862945264994</v>
      </c>
      <c r="T27" s="180">
        <f t="shared" si="3"/>
        <v>114.01749035621201</v>
      </c>
      <c r="U27" s="108">
        <f t="shared" si="1"/>
        <v>0.12713356479349455</v>
      </c>
      <c r="V27" s="157"/>
      <c r="W27" s="158"/>
      <c r="Y27" s="137"/>
      <c r="Z27" s="70"/>
      <c r="AA27" s="145">
        <v>31</v>
      </c>
      <c r="AB27" s="145" t="s">
        <v>442</v>
      </c>
      <c r="AC27" s="145">
        <v>20</v>
      </c>
      <c r="AD27" s="145" t="s">
        <v>431</v>
      </c>
      <c r="AE27" s="145">
        <v>328</v>
      </c>
      <c r="AF27" s="145">
        <v>272</v>
      </c>
      <c r="AG27" s="145">
        <v>49</v>
      </c>
      <c r="AH27" s="153">
        <f t="shared" si="4"/>
        <v>188</v>
      </c>
      <c r="AI27" s="145">
        <v>84</v>
      </c>
      <c r="AJ27" s="145">
        <v>16</v>
      </c>
      <c r="AK27" s="145">
        <v>4</v>
      </c>
      <c r="AL27" s="145">
        <v>5</v>
      </c>
      <c r="AM27" s="153">
        <v>123</v>
      </c>
      <c r="AN27" s="153">
        <v>44</v>
      </c>
      <c r="AO27" s="153">
        <v>46</v>
      </c>
      <c r="AP27" s="153">
        <v>28</v>
      </c>
      <c r="AQ27" s="153">
        <v>22</v>
      </c>
      <c r="AR27" s="153">
        <v>0.309</v>
      </c>
      <c r="AS27" s="153">
        <v>0.40100000000000002</v>
      </c>
      <c r="AT27" s="153">
        <v>0.45200000000000001</v>
      </c>
      <c r="AU27" s="153">
        <v>0.85299999999999998</v>
      </c>
      <c r="AV27" s="53"/>
      <c r="AX27" s="145">
        <v>31</v>
      </c>
      <c r="AY27" s="145" t="s">
        <v>442</v>
      </c>
      <c r="AZ27" s="145">
        <v>20</v>
      </c>
      <c r="BA27" s="145">
        <v>0.92</v>
      </c>
      <c r="BB27" s="169">
        <f t="shared" si="5"/>
        <v>251.36959999999999</v>
      </c>
      <c r="BC27" s="169">
        <f t="shared" si="16"/>
        <v>36.965600000000002</v>
      </c>
      <c r="BD27" s="169">
        <f t="shared" si="6"/>
        <v>63.369599999999998</v>
      </c>
      <c r="BE27" s="169">
        <f t="shared" si="7"/>
        <v>12.070399999999999</v>
      </c>
      <c r="BF27" s="169">
        <f t="shared" si="8"/>
        <v>2.5649600000000001</v>
      </c>
      <c r="BG27" s="169">
        <f t="shared" si="9"/>
        <v>3.7719999999999998</v>
      </c>
      <c r="BH27" s="169">
        <f t="shared" si="10"/>
        <v>33.193599999999996</v>
      </c>
      <c r="BI27" s="169">
        <f t="shared" si="11"/>
        <v>44.436000000000007</v>
      </c>
      <c r="BJ27" s="168">
        <f t="shared" si="12"/>
        <v>0.25209731009636804</v>
      </c>
      <c r="BK27" s="168">
        <f t="shared" si="13"/>
        <v>0.29350588086536383</v>
      </c>
      <c r="BL27" s="168">
        <f t="shared" si="14"/>
        <v>0.36554109963973364</v>
      </c>
      <c r="BM27" s="168">
        <f t="shared" si="15"/>
        <v>0.65904698050509747</v>
      </c>
      <c r="BN27" s="53"/>
      <c r="BP27" s="103" t="s">
        <v>390</v>
      </c>
      <c r="BQ27" s="163">
        <f>BV27/100</f>
        <v>0.95666666666666667</v>
      </c>
      <c r="BV27" s="164">
        <f>(96+90+101)/3</f>
        <v>95.666666666666671</v>
      </c>
    </row>
    <row r="28" spans="1:74">
      <c r="A28" s="79">
        <v>34</v>
      </c>
      <c r="B28" s="83" t="s">
        <v>334</v>
      </c>
      <c r="C28" s="77" t="s">
        <v>51</v>
      </c>
      <c r="D28" s="76">
        <v>22</v>
      </c>
      <c r="E28" s="76" t="s">
        <v>62</v>
      </c>
      <c r="F28" s="76" t="s">
        <v>54</v>
      </c>
      <c r="G28" s="76">
        <v>0</v>
      </c>
      <c r="H28" s="79">
        <v>40</v>
      </c>
      <c r="I28" s="90">
        <v>12.9</v>
      </c>
      <c r="J28" s="90">
        <v>28.4</v>
      </c>
      <c r="K28" s="85">
        <f>((AJ28*1)+(AK28*2)+(AL28*3))/AF28</f>
        <v>0.19491525423728814</v>
      </c>
      <c r="L28" s="148">
        <f>(AU28/0.735)*100</f>
        <v>115.23809523809523</v>
      </c>
      <c r="O28" s="79">
        <v>35</v>
      </c>
      <c r="P28" s="76" t="s">
        <v>335</v>
      </c>
      <c r="Q28" s="76">
        <v>20</v>
      </c>
      <c r="R28" s="181">
        <f t="shared" si="0"/>
        <v>1.4585723183370403</v>
      </c>
      <c r="S28" s="107">
        <f t="shared" si="2"/>
        <v>0.54479018180696159</v>
      </c>
      <c r="T28" s="180">
        <f t="shared" si="3"/>
        <v>117.98321454455693</v>
      </c>
      <c r="U28" s="108">
        <f t="shared" si="1"/>
        <v>0.14746805489824891</v>
      </c>
      <c r="V28" s="157"/>
      <c r="W28" s="158"/>
      <c r="Y28" s="137"/>
      <c r="Z28" s="70"/>
      <c r="AA28" s="145">
        <v>34</v>
      </c>
      <c r="AB28" s="145" t="s">
        <v>334</v>
      </c>
      <c r="AC28" s="145">
        <v>22</v>
      </c>
      <c r="AD28" s="145" t="s">
        <v>435</v>
      </c>
      <c r="AE28" s="145">
        <v>549</v>
      </c>
      <c r="AF28" s="145">
        <v>472</v>
      </c>
      <c r="AG28" s="145">
        <v>69</v>
      </c>
      <c r="AH28" s="153">
        <f t="shared" si="4"/>
        <v>341</v>
      </c>
      <c r="AI28" s="145">
        <v>131</v>
      </c>
      <c r="AJ28" s="145">
        <v>29</v>
      </c>
      <c r="AK28" s="145">
        <v>3</v>
      </c>
      <c r="AL28" s="145">
        <v>19</v>
      </c>
      <c r="AM28" s="153">
        <v>223</v>
      </c>
      <c r="AN28" s="153">
        <v>75</v>
      </c>
      <c r="AO28" s="153">
        <v>71</v>
      </c>
      <c r="AP28" s="153">
        <v>156</v>
      </c>
      <c r="AQ28" s="153">
        <v>11</v>
      </c>
      <c r="AR28" s="153">
        <v>0.27800000000000002</v>
      </c>
      <c r="AS28" s="153">
        <v>0.375</v>
      </c>
      <c r="AT28" s="153">
        <v>0.47199999999999998</v>
      </c>
      <c r="AU28" s="153">
        <v>0.84699999999999998</v>
      </c>
      <c r="AV28" s="53"/>
      <c r="AX28" s="145">
        <v>34</v>
      </c>
      <c r="AY28" s="145" t="s">
        <v>334</v>
      </c>
      <c r="AZ28" s="145">
        <v>22</v>
      </c>
      <c r="BA28" s="145">
        <v>1.01</v>
      </c>
      <c r="BB28" s="169">
        <f t="shared" si="5"/>
        <v>449.49419999999998</v>
      </c>
      <c r="BC28" s="169">
        <f t="shared" si="16"/>
        <v>57.145800000000001</v>
      </c>
      <c r="BD28" s="169">
        <f t="shared" si="6"/>
        <v>108.49419999999999</v>
      </c>
      <c r="BE28" s="169">
        <f t="shared" si="7"/>
        <v>24.017799999999998</v>
      </c>
      <c r="BF28" s="169">
        <f t="shared" si="8"/>
        <v>2.11191</v>
      </c>
      <c r="BG28" s="169">
        <f t="shared" si="9"/>
        <v>15.735799999999998</v>
      </c>
      <c r="BH28" s="169">
        <f t="shared" si="10"/>
        <v>62.114999999999995</v>
      </c>
      <c r="BI28" s="169">
        <f t="shared" si="11"/>
        <v>75.295500000000004</v>
      </c>
      <c r="BJ28" s="168">
        <f t="shared" si="12"/>
        <v>0.24136952156446068</v>
      </c>
      <c r="BK28" s="168">
        <f t="shared" si="13"/>
        <v>0.29069319090475843</v>
      </c>
      <c r="BL28" s="168">
        <f t="shared" si="14"/>
        <v>0.40922267740050927</v>
      </c>
      <c r="BM28" s="168">
        <f t="shared" si="15"/>
        <v>0.69991586830526775</v>
      </c>
      <c r="BN28" s="53"/>
      <c r="BP28" s="103" t="s">
        <v>391</v>
      </c>
      <c r="BQ28" s="163">
        <f>BV28/100</f>
        <v>1.0966666666666667</v>
      </c>
      <c r="BV28" s="164">
        <f>(106+119+104)/3</f>
        <v>109.66666666666667</v>
      </c>
    </row>
    <row r="29" spans="1:74">
      <c r="A29" s="79">
        <v>35</v>
      </c>
      <c r="B29" s="76" t="s">
        <v>335</v>
      </c>
      <c r="C29" s="77" t="s">
        <v>83</v>
      </c>
      <c r="D29" s="76">
        <v>20</v>
      </c>
      <c r="E29" s="76" t="s">
        <v>62</v>
      </c>
      <c r="F29" s="76" t="s">
        <v>54</v>
      </c>
      <c r="G29" s="76">
        <v>0</v>
      </c>
      <c r="H29" s="79">
        <v>40</v>
      </c>
      <c r="I29" s="90">
        <v>11.4</v>
      </c>
      <c r="J29" s="90">
        <v>25.4</v>
      </c>
      <c r="K29" s="85">
        <f>((AJ29*1)+(AK29*2)+(AL29*3))/AF29</f>
        <v>0.22421524663677131</v>
      </c>
      <c r="L29" s="148">
        <f>(AU29/0.735)*100</f>
        <v>121.08843537414967</v>
      </c>
      <c r="O29" s="79">
        <v>36</v>
      </c>
      <c r="P29" s="76" t="s">
        <v>336</v>
      </c>
      <c r="Q29" s="76">
        <v>21</v>
      </c>
      <c r="R29" s="181">
        <f t="shared" si="0"/>
        <v>1.5784843829018727</v>
      </c>
      <c r="S29" s="107">
        <f t="shared" si="2"/>
        <v>0.53874416447564932</v>
      </c>
      <c r="T29" s="180">
        <f t="shared" si="3"/>
        <v>117.49953315805195</v>
      </c>
      <c r="U29" s="108">
        <f t="shared" si="1"/>
        <v>0.16400275249374813</v>
      </c>
      <c r="V29" s="157"/>
      <c r="W29" s="158"/>
      <c r="Y29" s="137"/>
      <c r="Z29" s="70"/>
      <c r="AA29" s="145">
        <v>35</v>
      </c>
      <c r="AB29" s="145" t="s">
        <v>335</v>
      </c>
      <c r="AC29" s="145">
        <v>20</v>
      </c>
      <c r="AD29" s="145" t="s">
        <v>430</v>
      </c>
      <c r="AE29" s="145">
        <v>519</v>
      </c>
      <c r="AF29" s="145">
        <v>446</v>
      </c>
      <c r="AG29" s="145">
        <v>76</v>
      </c>
      <c r="AH29" s="153">
        <f t="shared" si="4"/>
        <v>316</v>
      </c>
      <c r="AI29" s="145">
        <v>130</v>
      </c>
      <c r="AJ29" s="145">
        <v>27</v>
      </c>
      <c r="AK29" s="145">
        <v>2</v>
      </c>
      <c r="AL29" s="145">
        <v>23</v>
      </c>
      <c r="AM29" s="153">
        <v>230</v>
      </c>
      <c r="AN29" s="153">
        <v>92</v>
      </c>
      <c r="AO29" s="153">
        <v>59</v>
      </c>
      <c r="AP29" s="153">
        <v>132</v>
      </c>
      <c r="AQ29" s="153">
        <v>6</v>
      </c>
      <c r="AR29" s="153">
        <v>0.29099999999999998</v>
      </c>
      <c r="AS29" s="153">
        <v>0.374</v>
      </c>
      <c r="AT29" s="153">
        <v>0.51600000000000001</v>
      </c>
      <c r="AU29" s="153">
        <v>0.89</v>
      </c>
      <c r="AV29" s="53"/>
      <c r="AX29" s="145">
        <v>35</v>
      </c>
      <c r="AY29" s="145" t="s">
        <v>335</v>
      </c>
      <c r="AZ29" s="145">
        <v>20</v>
      </c>
      <c r="BA29" s="145">
        <v>1</v>
      </c>
      <c r="BB29" s="169">
        <f t="shared" si="5"/>
        <v>422.6</v>
      </c>
      <c r="BC29" s="169">
        <f t="shared" si="16"/>
        <v>62.319999999999993</v>
      </c>
      <c r="BD29" s="169">
        <f t="shared" si="6"/>
        <v>106.6</v>
      </c>
      <c r="BE29" s="169">
        <f t="shared" si="7"/>
        <v>22.139999999999997</v>
      </c>
      <c r="BF29" s="169">
        <f t="shared" si="8"/>
        <v>1.3939999999999999</v>
      </c>
      <c r="BG29" s="169">
        <f t="shared" si="9"/>
        <v>18.86</v>
      </c>
      <c r="BH29" s="169">
        <f t="shared" si="10"/>
        <v>75.44</v>
      </c>
      <c r="BI29" s="169">
        <f t="shared" si="11"/>
        <v>61.95</v>
      </c>
      <c r="BJ29" s="168">
        <f t="shared" si="12"/>
        <v>0.25224798864174158</v>
      </c>
      <c r="BK29" s="168">
        <f t="shared" si="13"/>
        <v>0.32507723352202716</v>
      </c>
      <c r="BL29" s="168">
        <f t="shared" si="14"/>
        <v>0.44512068149550399</v>
      </c>
      <c r="BM29" s="168">
        <f t="shared" si="15"/>
        <v>0.7701979150175311</v>
      </c>
      <c r="BN29" s="53"/>
      <c r="BP29" s="103" t="s">
        <v>392</v>
      </c>
      <c r="BQ29" s="163">
        <f>BV29/100</f>
        <v>1</v>
      </c>
      <c r="BV29" s="164">
        <v>100</v>
      </c>
    </row>
    <row r="30" spans="1:74">
      <c r="A30" s="79">
        <v>36</v>
      </c>
      <c r="B30" s="76" t="s">
        <v>336</v>
      </c>
      <c r="C30" s="77" t="s">
        <v>101</v>
      </c>
      <c r="D30" s="76">
        <v>21</v>
      </c>
      <c r="E30" s="76" t="s">
        <v>103</v>
      </c>
      <c r="F30" s="76" t="s">
        <v>54</v>
      </c>
      <c r="G30" s="76">
        <v>0</v>
      </c>
      <c r="H30" s="79">
        <v>40</v>
      </c>
      <c r="I30" s="90">
        <v>13.3</v>
      </c>
      <c r="J30" s="90">
        <v>33.299999999999997</v>
      </c>
      <c r="K30" s="85">
        <f>((AJ30*1)+(AK30*2)+(AL30*3))/AF30</f>
        <v>0.21525885558583105</v>
      </c>
      <c r="L30" s="148">
        <f>(AU30/0.735)*100</f>
        <v>115.64625850340136</v>
      </c>
      <c r="O30" s="79">
        <v>37</v>
      </c>
      <c r="P30" s="76" t="s">
        <v>337</v>
      </c>
      <c r="Q30" s="76">
        <v>22</v>
      </c>
      <c r="R30" s="181">
        <f t="shared" si="0"/>
        <v>0.70185212190526836</v>
      </c>
      <c r="S30" s="107">
        <f t="shared" si="2"/>
        <v>0.44111376813379483</v>
      </c>
      <c r="T30" s="180">
        <f t="shared" si="3"/>
        <v>109.68910145070359</v>
      </c>
      <c r="U30" s="108">
        <f t="shared" si="1"/>
        <v>0.13170413929434316</v>
      </c>
      <c r="V30" s="157"/>
      <c r="W30" s="158"/>
      <c r="Y30" s="137"/>
      <c r="Z30" s="70"/>
      <c r="AA30" s="145">
        <v>36</v>
      </c>
      <c r="AB30" s="145" t="s">
        <v>336</v>
      </c>
      <c r="AC30" s="145">
        <v>21</v>
      </c>
      <c r="AD30" s="145" t="s">
        <v>431</v>
      </c>
      <c r="AE30" s="145">
        <v>435</v>
      </c>
      <c r="AF30" s="145">
        <v>367</v>
      </c>
      <c r="AG30" s="145">
        <v>65</v>
      </c>
      <c r="AH30" s="153">
        <f t="shared" si="4"/>
        <v>270</v>
      </c>
      <c r="AI30" s="145">
        <v>97</v>
      </c>
      <c r="AJ30" s="145">
        <v>21</v>
      </c>
      <c r="AK30" s="145">
        <v>2</v>
      </c>
      <c r="AL30" s="145">
        <v>18</v>
      </c>
      <c r="AM30" s="153">
        <v>176</v>
      </c>
      <c r="AN30" s="153">
        <v>78</v>
      </c>
      <c r="AO30" s="153">
        <v>58</v>
      </c>
      <c r="AP30" s="153">
        <v>145</v>
      </c>
      <c r="AQ30" s="153">
        <v>15</v>
      </c>
      <c r="AR30" s="153">
        <v>0.26400000000000001</v>
      </c>
      <c r="AS30" s="153">
        <v>0.37</v>
      </c>
      <c r="AT30" s="153">
        <v>0.48</v>
      </c>
      <c r="AU30" s="153">
        <v>0.85</v>
      </c>
      <c r="AV30" s="53"/>
      <c r="AX30" s="145">
        <v>36</v>
      </c>
      <c r="AY30" s="145" t="s">
        <v>336</v>
      </c>
      <c r="AZ30" s="145">
        <v>21</v>
      </c>
      <c r="BA30" s="145">
        <v>1.1000000000000001</v>
      </c>
      <c r="BB30" s="169">
        <f t="shared" si="5"/>
        <v>357.49400000000003</v>
      </c>
      <c r="BC30" s="169">
        <f t="shared" si="16"/>
        <v>58.63</v>
      </c>
      <c r="BD30" s="169">
        <f t="shared" si="6"/>
        <v>87.494</v>
      </c>
      <c r="BE30" s="169">
        <f t="shared" si="7"/>
        <v>18.942</v>
      </c>
      <c r="BF30" s="169">
        <f t="shared" si="8"/>
        <v>1.5334000000000001</v>
      </c>
      <c r="BG30" s="169">
        <f t="shared" si="9"/>
        <v>16.236000000000001</v>
      </c>
      <c r="BH30" s="169">
        <f t="shared" si="10"/>
        <v>70.355999999999995</v>
      </c>
      <c r="BI30" s="169">
        <f t="shared" si="11"/>
        <v>66.990000000000009</v>
      </c>
      <c r="BJ30" s="168">
        <f t="shared" si="12"/>
        <v>0.24474256910605491</v>
      </c>
      <c r="BK30" s="168">
        <f t="shared" si="13"/>
        <v>0.31899199741330531</v>
      </c>
      <c r="BL30" s="168">
        <f t="shared" si="14"/>
        <v>0.44255511980620654</v>
      </c>
      <c r="BM30" s="168">
        <f t="shared" si="15"/>
        <v>0.76154711721951185</v>
      </c>
      <c r="BN30" s="53"/>
      <c r="BP30" s="103" t="s">
        <v>393</v>
      </c>
      <c r="BQ30" s="163">
        <f>BV30/100</f>
        <v>0.93333333333333324</v>
      </c>
      <c r="BV30" s="164">
        <f>(102+74+104)/3</f>
        <v>93.333333333333329</v>
      </c>
    </row>
    <row r="31" spans="1:74" ht="30">
      <c r="A31" s="79">
        <v>37</v>
      </c>
      <c r="B31" s="76" t="s">
        <v>337</v>
      </c>
      <c r="C31" s="77" t="s">
        <v>47</v>
      </c>
      <c r="D31" s="76">
        <v>22</v>
      </c>
      <c r="E31" s="76" t="s">
        <v>58</v>
      </c>
      <c r="F31" s="76" t="s">
        <v>54</v>
      </c>
      <c r="G31" s="76">
        <v>0</v>
      </c>
      <c r="H31" s="79">
        <v>50</v>
      </c>
      <c r="I31" s="90">
        <v>12</v>
      </c>
      <c r="J31" s="90">
        <v>28.6</v>
      </c>
      <c r="K31" s="85">
        <f>((AJ31*1)+(AK31*2)+(AL31*3))/AF31</f>
        <v>0.1670103092783505</v>
      </c>
      <c r="L31" s="148">
        <f>(AU31/0.735)*100</f>
        <v>96.598639455782305</v>
      </c>
      <c r="O31" s="79">
        <v>38</v>
      </c>
      <c r="P31" s="83" t="s">
        <v>338</v>
      </c>
      <c r="Q31" s="76">
        <v>21</v>
      </c>
      <c r="R31" s="181">
        <f t="shared" si="0"/>
        <v>0.5755352160214342</v>
      </c>
      <c r="S31" s="107">
        <f t="shared" si="2"/>
        <v>0.42621888393776775</v>
      </c>
      <c r="T31" s="180">
        <f t="shared" si="3"/>
        <v>108.49751071502143</v>
      </c>
      <c r="U31" s="108">
        <f t="shared" si="1"/>
        <v>0.12314520105796387</v>
      </c>
      <c r="V31" s="157"/>
      <c r="W31" s="158"/>
      <c r="Y31" s="137"/>
      <c r="Z31" s="70"/>
      <c r="AA31" s="145">
        <v>37</v>
      </c>
      <c r="AB31" s="145" t="s">
        <v>337</v>
      </c>
      <c r="AC31" s="145">
        <v>22</v>
      </c>
      <c r="AD31" s="145" t="s">
        <v>435</v>
      </c>
      <c r="AE31" s="145">
        <v>573</v>
      </c>
      <c r="AF31" s="145">
        <v>485</v>
      </c>
      <c r="AG31" s="145">
        <v>66</v>
      </c>
      <c r="AH31" s="153">
        <f t="shared" si="4"/>
        <v>381</v>
      </c>
      <c r="AI31" s="145">
        <v>104</v>
      </c>
      <c r="AJ31" s="145">
        <v>21</v>
      </c>
      <c r="AK31" s="145">
        <v>3</v>
      </c>
      <c r="AL31" s="145">
        <v>18</v>
      </c>
      <c r="AM31" s="153">
        <v>185</v>
      </c>
      <c r="AN31" s="153">
        <v>63</v>
      </c>
      <c r="AO31" s="153">
        <v>69</v>
      </c>
      <c r="AP31" s="153">
        <v>164</v>
      </c>
      <c r="AQ31" s="153">
        <v>8</v>
      </c>
      <c r="AR31" s="153">
        <v>0.214</v>
      </c>
      <c r="AS31" s="153">
        <v>0.32900000000000001</v>
      </c>
      <c r="AT31" s="153">
        <v>0.38100000000000001</v>
      </c>
      <c r="AU31" s="153">
        <v>0.71</v>
      </c>
      <c r="AV31" s="53"/>
      <c r="AX31" s="145">
        <v>37</v>
      </c>
      <c r="AY31" s="145" t="s">
        <v>337</v>
      </c>
      <c r="AZ31" s="145">
        <v>22</v>
      </c>
      <c r="BA31" s="145">
        <v>1.17</v>
      </c>
      <c r="BB31" s="169">
        <f t="shared" si="5"/>
        <v>480.77760000000001</v>
      </c>
      <c r="BC31" s="169">
        <f t="shared" si="16"/>
        <v>63.320399999999992</v>
      </c>
      <c r="BD31" s="169">
        <f t="shared" si="6"/>
        <v>99.777599999999993</v>
      </c>
      <c r="BE31" s="169">
        <f t="shared" si="7"/>
        <v>20.147399999999998</v>
      </c>
      <c r="BF31" s="169">
        <f t="shared" si="8"/>
        <v>2.4464699999999997</v>
      </c>
      <c r="BG31" s="169">
        <f t="shared" si="9"/>
        <v>17.269199999999998</v>
      </c>
      <c r="BH31" s="169">
        <f t="shared" si="10"/>
        <v>60.442199999999993</v>
      </c>
      <c r="BI31" s="169">
        <f t="shared" si="11"/>
        <v>84.766499999999994</v>
      </c>
      <c r="BJ31" s="168">
        <f t="shared" si="12"/>
        <v>0.20753379525169224</v>
      </c>
      <c r="BK31" s="168">
        <f t="shared" si="13"/>
        <v>0.25594777393690565</v>
      </c>
      <c r="BL31" s="168">
        <f t="shared" si="14"/>
        <v>0.367374727940736</v>
      </c>
      <c r="BM31" s="168">
        <f t="shared" si="15"/>
        <v>0.6233225018776416</v>
      </c>
      <c r="BN31" s="53"/>
      <c r="BP31" s="103" t="s">
        <v>394</v>
      </c>
      <c r="BQ31" s="163">
        <f>BV31/100</f>
        <v>0.99333333333333329</v>
      </c>
      <c r="BV31" s="164">
        <f>(98+103+97)/3</f>
        <v>99.333333333333329</v>
      </c>
    </row>
    <row r="32" spans="1:74">
      <c r="A32" s="79">
        <v>38</v>
      </c>
      <c r="B32" s="83" t="s">
        <v>338</v>
      </c>
      <c r="C32" s="77" t="s">
        <v>60</v>
      </c>
      <c r="D32" s="76">
        <v>21</v>
      </c>
      <c r="E32" s="76" t="s">
        <v>58</v>
      </c>
      <c r="F32" s="76" t="s">
        <v>54</v>
      </c>
      <c r="G32" s="76">
        <v>0</v>
      </c>
      <c r="H32" s="79">
        <v>55</v>
      </c>
      <c r="I32" s="90">
        <v>12.1</v>
      </c>
      <c r="J32" s="90">
        <v>15.8</v>
      </c>
      <c r="K32" s="85">
        <f>((AJ32*1)+(AK32*2)+(AL32*3))/AF32</f>
        <v>0.11940298507462686</v>
      </c>
      <c r="L32" s="148">
        <f>(AU32/0.735)*100</f>
        <v>103.26530612244898</v>
      </c>
      <c r="O32" s="79">
        <v>39</v>
      </c>
      <c r="P32" s="76" t="s">
        <v>339</v>
      </c>
      <c r="Q32" s="76">
        <v>23</v>
      </c>
      <c r="R32" s="181">
        <f t="shared" si="0"/>
        <v>1.2914038397712404</v>
      </c>
      <c r="S32" s="107">
        <f t="shared" si="2"/>
        <v>0.52722468825790314</v>
      </c>
      <c r="T32" s="180">
        <f t="shared" si="3"/>
        <v>116.57797506063226</v>
      </c>
      <c r="U32" s="108">
        <f t="shared" si="1"/>
        <v>0.14163412436167017</v>
      </c>
      <c r="V32" s="157"/>
      <c r="W32" s="158"/>
      <c r="Y32" s="137"/>
      <c r="Z32" s="70"/>
      <c r="AA32" s="145">
        <v>38</v>
      </c>
      <c r="AB32" s="145" t="s">
        <v>338</v>
      </c>
      <c r="AC32" s="145">
        <v>21</v>
      </c>
      <c r="AD32" s="145" t="s">
        <v>432</v>
      </c>
      <c r="AE32" s="145">
        <v>552</v>
      </c>
      <c r="AF32" s="145">
        <v>469</v>
      </c>
      <c r="AG32" s="145">
        <v>67</v>
      </c>
      <c r="AH32" s="153">
        <f t="shared" si="4"/>
        <v>342</v>
      </c>
      <c r="AI32" s="145">
        <v>127</v>
      </c>
      <c r="AJ32" s="145">
        <v>25</v>
      </c>
      <c r="AK32" s="145">
        <v>2</v>
      </c>
      <c r="AL32" s="145">
        <v>9</v>
      </c>
      <c r="AM32" s="153">
        <v>183</v>
      </c>
      <c r="AN32" s="153">
        <v>57</v>
      </c>
      <c r="AO32" s="153">
        <v>67</v>
      </c>
      <c r="AP32" s="153">
        <v>87</v>
      </c>
      <c r="AQ32" s="153">
        <v>23</v>
      </c>
      <c r="AR32" s="153">
        <v>0.27100000000000002</v>
      </c>
      <c r="AS32" s="153">
        <v>0.36899999999999999</v>
      </c>
      <c r="AT32" s="153">
        <v>0.39</v>
      </c>
      <c r="AU32" s="153">
        <v>0.75900000000000001</v>
      </c>
      <c r="AV32" s="53"/>
      <c r="AX32" s="145">
        <v>38</v>
      </c>
      <c r="AY32" s="145" t="s">
        <v>338</v>
      </c>
      <c r="AZ32" s="145">
        <v>21</v>
      </c>
      <c r="BA32" s="145">
        <v>1</v>
      </c>
      <c r="BB32" s="169">
        <f t="shared" si="5"/>
        <v>446.14</v>
      </c>
      <c r="BC32" s="169">
        <f t="shared" si="16"/>
        <v>54.94</v>
      </c>
      <c r="BD32" s="169">
        <f t="shared" si="6"/>
        <v>104.14</v>
      </c>
      <c r="BE32" s="169">
        <f t="shared" si="7"/>
        <v>20.5</v>
      </c>
      <c r="BF32" s="169">
        <f t="shared" si="8"/>
        <v>1.3939999999999999</v>
      </c>
      <c r="BG32" s="169">
        <f t="shared" si="9"/>
        <v>7.38</v>
      </c>
      <c r="BH32" s="169">
        <f t="shared" si="10"/>
        <v>46.739999999999995</v>
      </c>
      <c r="BI32" s="169">
        <f t="shared" si="11"/>
        <v>70.350000000000009</v>
      </c>
      <c r="BJ32" s="168">
        <f t="shared" si="12"/>
        <v>0.23342448558748377</v>
      </c>
      <c r="BK32" s="168">
        <f t="shared" si="13"/>
        <v>0.26788345791239809</v>
      </c>
      <c r="BL32" s="168">
        <f t="shared" si="14"/>
        <v>0.33524902496974046</v>
      </c>
      <c r="BM32" s="168">
        <f t="shared" si="15"/>
        <v>0.6031324828821385</v>
      </c>
      <c r="BN32" s="53"/>
    </row>
    <row r="33" spans="1:66" ht="30">
      <c r="A33" s="79">
        <v>39</v>
      </c>
      <c r="B33" s="76" t="s">
        <v>339</v>
      </c>
      <c r="C33" s="77" t="s">
        <v>108</v>
      </c>
      <c r="D33" s="76">
        <v>23</v>
      </c>
      <c r="E33" s="76" t="s">
        <v>53</v>
      </c>
      <c r="F33" s="76" t="s">
        <v>54</v>
      </c>
      <c r="G33" s="76">
        <v>0</v>
      </c>
      <c r="H33" s="79">
        <v>40</v>
      </c>
      <c r="I33" s="90">
        <v>12.7</v>
      </c>
      <c r="J33" s="90">
        <v>20.5</v>
      </c>
      <c r="K33" s="85">
        <f>((AJ33*1)+(AK33*2)+(AL33*3))/AF33</f>
        <v>0.24047619047619048</v>
      </c>
      <c r="L33" s="148">
        <f>(AU33/0.735)*100</f>
        <v>121.90476190476191</v>
      </c>
      <c r="O33" s="79">
        <v>41</v>
      </c>
      <c r="P33" s="76" t="s">
        <v>340</v>
      </c>
      <c r="Q33" s="76">
        <v>23</v>
      </c>
      <c r="R33" s="181">
        <f t="shared" si="0"/>
        <v>1.0808136973774853</v>
      </c>
      <c r="S33" s="107">
        <f t="shared" si="2"/>
        <v>0.48879184435073769</v>
      </c>
      <c r="T33" s="180">
        <f t="shared" si="3"/>
        <v>113.50334754805903</v>
      </c>
      <c r="U33" s="108">
        <f t="shared" si="1"/>
        <v>0.1455280482428282</v>
      </c>
      <c r="V33" s="157"/>
      <c r="W33" s="158"/>
      <c r="Y33" s="137"/>
      <c r="Z33" s="70"/>
      <c r="AA33" s="145">
        <v>39</v>
      </c>
      <c r="AB33" s="145" t="s">
        <v>339</v>
      </c>
      <c r="AC33" s="145">
        <v>23</v>
      </c>
      <c r="AD33" s="145" t="s">
        <v>431</v>
      </c>
      <c r="AE33" s="145">
        <v>503</v>
      </c>
      <c r="AF33" s="145">
        <v>420</v>
      </c>
      <c r="AG33" s="145">
        <v>69</v>
      </c>
      <c r="AH33" s="153">
        <f t="shared" si="4"/>
        <v>306</v>
      </c>
      <c r="AI33" s="145">
        <v>114</v>
      </c>
      <c r="AJ33" s="145">
        <v>21</v>
      </c>
      <c r="AK33" s="145">
        <v>1</v>
      </c>
      <c r="AL33" s="145">
        <v>26</v>
      </c>
      <c r="AM33" s="153">
        <v>215</v>
      </c>
      <c r="AN33" s="153">
        <v>85</v>
      </c>
      <c r="AO33" s="153">
        <v>64</v>
      </c>
      <c r="AP33" s="153">
        <v>103</v>
      </c>
      <c r="AQ33" s="153">
        <v>2</v>
      </c>
      <c r="AR33" s="153">
        <v>0.27100000000000002</v>
      </c>
      <c r="AS33" s="153">
        <v>0.38400000000000001</v>
      </c>
      <c r="AT33" s="153">
        <v>0.51200000000000001</v>
      </c>
      <c r="AU33" s="153">
        <v>0.89600000000000002</v>
      </c>
      <c r="AV33" s="53"/>
      <c r="AX33" s="145">
        <v>39</v>
      </c>
      <c r="AY33" s="145" t="s">
        <v>339</v>
      </c>
      <c r="AZ33" s="145">
        <v>23</v>
      </c>
      <c r="BA33" s="145">
        <v>1</v>
      </c>
      <c r="BB33" s="169">
        <f t="shared" si="5"/>
        <v>399.48</v>
      </c>
      <c r="BC33" s="169">
        <f t="shared" si="16"/>
        <v>56.58</v>
      </c>
      <c r="BD33" s="169">
        <f t="shared" si="6"/>
        <v>93.47999999999999</v>
      </c>
      <c r="BE33" s="169">
        <f t="shared" si="7"/>
        <v>17.22</v>
      </c>
      <c r="BF33" s="169">
        <f t="shared" si="8"/>
        <v>0.69699999999999995</v>
      </c>
      <c r="BG33" s="169">
        <f t="shared" si="9"/>
        <v>21.32</v>
      </c>
      <c r="BH33" s="169">
        <f t="shared" si="10"/>
        <v>69.7</v>
      </c>
      <c r="BI33" s="169">
        <f t="shared" si="11"/>
        <v>67.2</v>
      </c>
      <c r="BJ33" s="168">
        <f t="shared" si="12"/>
        <v>0.23400420546710721</v>
      </c>
      <c r="BK33" s="168">
        <f t="shared" si="13"/>
        <v>0.30422461687609531</v>
      </c>
      <c r="BL33" s="168">
        <f t="shared" si="14"/>
        <v>0.44070792029638522</v>
      </c>
      <c r="BM33" s="168">
        <f t="shared" si="15"/>
        <v>0.74493253717248054</v>
      </c>
      <c r="BN33" s="53"/>
    </row>
    <row r="34" spans="1:66" ht="30">
      <c r="A34" s="79">
        <v>41</v>
      </c>
      <c r="B34" s="76" t="s">
        <v>340</v>
      </c>
      <c r="C34" s="77" t="s">
        <v>316</v>
      </c>
      <c r="D34" s="76">
        <v>23</v>
      </c>
      <c r="E34" s="76" t="s">
        <v>62</v>
      </c>
      <c r="F34" s="76" t="s">
        <v>54</v>
      </c>
      <c r="G34" s="76">
        <v>0</v>
      </c>
      <c r="H34" s="79">
        <v>55</v>
      </c>
      <c r="I34" s="90">
        <v>11.6</v>
      </c>
      <c r="J34" s="90">
        <v>13.4</v>
      </c>
      <c r="K34" s="85">
        <f>((AJ34*1)+(AK34*2)+(AL34*3))/AF34</f>
        <v>0.23943661971830985</v>
      </c>
      <c r="L34" s="148">
        <f>(AU34/0.735)*100</f>
        <v>114.421768707483</v>
      </c>
      <c r="O34" s="90">
        <v>43</v>
      </c>
      <c r="P34" s="90" t="s">
        <v>360</v>
      </c>
      <c r="Q34" s="90">
        <v>21</v>
      </c>
      <c r="R34" s="181">
        <f t="shared" si="0"/>
        <v>0.71664502195401103</v>
      </c>
      <c r="S34" s="107">
        <f t="shared" si="2"/>
        <v>0.44638585203001724</v>
      </c>
      <c r="T34" s="180">
        <f t="shared" si="3"/>
        <v>110.11086816240139</v>
      </c>
      <c r="U34" s="108">
        <f t="shared" si="1"/>
        <v>0.12887033319776026</v>
      </c>
      <c r="V34" s="157"/>
      <c r="W34" s="158"/>
      <c r="Y34" s="137"/>
      <c r="Z34" s="70"/>
      <c r="AA34" s="145">
        <v>41</v>
      </c>
      <c r="AB34" s="145" t="s">
        <v>443</v>
      </c>
      <c r="AC34" s="145">
        <v>23</v>
      </c>
      <c r="AD34" s="145" t="s">
        <v>429</v>
      </c>
      <c r="AE34" s="145">
        <v>164</v>
      </c>
      <c r="AF34" s="145">
        <v>142</v>
      </c>
      <c r="AG34" s="145">
        <v>25</v>
      </c>
      <c r="AH34" s="153">
        <f t="shared" si="4"/>
        <v>105</v>
      </c>
      <c r="AI34" s="145">
        <v>37</v>
      </c>
      <c r="AJ34" s="145">
        <v>10</v>
      </c>
      <c r="AK34" s="145">
        <v>0</v>
      </c>
      <c r="AL34" s="145">
        <v>8</v>
      </c>
      <c r="AM34" s="153">
        <v>71</v>
      </c>
      <c r="AN34" s="153">
        <v>24</v>
      </c>
      <c r="AO34" s="153">
        <v>19</v>
      </c>
      <c r="AP34" s="153">
        <v>22</v>
      </c>
      <c r="AQ34" s="153">
        <v>1</v>
      </c>
      <c r="AR34" s="153">
        <v>0.26100000000000001</v>
      </c>
      <c r="AS34" s="153">
        <v>0.34100000000000003</v>
      </c>
      <c r="AT34" s="153">
        <v>0.5</v>
      </c>
      <c r="AU34" s="153">
        <v>0.84099999999999997</v>
      </c>
      <c r="AV34" s="53"/>
      <c r="AX34" s="145">
        <v>41</v>
      </c>
      <c r="AY34" s="145" t="s">
        <v>443</v>
      </c>
      <c r="AZ34" s="145">
        <v>23</v>
      </c>
      <c r="BA34" s="145">
        <v>0.95</v>
      </c>
      <c r="BB34" s="169">
        <f t="shared" si="5"/>
        <v>133.82300000000001</v>
      </c>
      <c r="BC34" s="169">
        <f t="shared" si="16"/>
        <v>19.474999999999998</v>
      </c>
      <c r="BD34" s="169">
        <f t="shared" si="6"/>
        <v>28.822999999999997</v>
      </c>
      <c r="BE34" s="169">
        <f t="shared" si="7"/>
        <v>7.7899999999999991</v>
      </c>
      <c r="BF34" s="169">
        <f t="shared" si="8"/>
        <v>0</v>
      </c>
      <c r="BG34" s="169">
        <f t="shared" si="9"/>
        <v>6.2319999999999993</v>
      </c>
      <c r="BH34" s="169">
        <f t="shared" si="10"/>
        <v>18.695999999999998</v>
      </c>
      <c r="BI34" s="169">
        <f t="shared" si="11"/>
        <v>18.952499999999997</v>
      </c>
      <c r="BJ34" s="168">
        <f t="shared" si="12"/>
        <v>0.21538151139938572</v>
      </c>
      <c r="BK34" s="168">
        <f t="shared" si="13"/>
        <v>0.27712477000551106</v>
      </c>
      <c r="BL34" s="168">
        <f t="shared" si="14"/>
        <v>0.41329965700963206</v>
      </c>
      <c r="BM34" s="168">
        <f t="shared" si="15"/>
        <v>0.69042442701514317</v>
      </c>
      <c r="BN34" s="53"/>
    </row>
    <row r="35" spans="1:66">
      <c r="A35" s="90">
        <v>43</v>
      </c>
      <c r="B35" s="90" t="s">
        <v>360</v>
      </c>
      <c r="C35" s="90" t="s">
        <v>78</v>
      </c>
      <c r="D35" s="90">
        <v>21</v>
      </c>
      <c r="E35" s="90" t="s">
        <v>53</v>
      </c>
      <c r="F35" s="90" t="s">
        <v>54</v>
      </c>
      <c r="G35" s="90">
        <v>0</v>
      </c>
      <c r="H35" s="90">
        <v>40</v>
      </c>
      <c r="I35" s="141">
        <v>8.9</v>
      </c>
      <c r="J35" s="142">
        <v>16.625</v>
      </c>
      <c r="K35" s="146">
        <f>((39)+(3*2)+(28*3))/771</f>
        <v>0.16731517509727625</v>
      </c>
      <c r="L35" s="149">
        <f>(0.795/0.735)*100</f>
        <v>108.16326530612245</v>
      </c>
      <c r="O35" s="79">
        <v>44</v>
      </c>
      <c r="P35" s="76" t="s">
        <v>341</v>
      </c>
      <c r="Q35" s="76">
        <v>21</v>
      </c>
      <c r="R35" s="181">
        <f t="shared" si="0"/>
        <v>0.93843192689053256</v>
      </c>
      <c r="S35" s="107">
        <f t="shared" si="2"/>
        <v>0.51494629190843777</v>
      </c>
      <c r="T35" s="180">
        <f t="shared" si="3"/>
        <v>115.59570335267502</v>
      </c>
      <c r="U35" s="108">
        <f t="shared" si="1"/>
        <v>0.1094044833047582</v>
      </c>
      <c r="V35" s="157"/>
      <c r="W35" s="158"/>
      <c r="Y35" s="137"/>
      <c r="Z35" s="70"/>
      <c r="AA35" s="154">
        <v>43</v>
      </c>
      <c r="AB35" s="145" t="s">
        <v>360</v>
      </c>
      <c r="AC35" s="154">
        <v>21</v>
      </c>
      <c r="AD35" s="154" t="s">
        <v>453</v>
      </c>
      <c r="AE35" s="166">
        <v>869</v>
      </c>
      <c r="AF35" s="167">
        <v>771</v>
      </c>
      <c r="AG35" s="167">
        <v>116</v>
      </c>
      <c r="AH35" s="153">
        <f t="shared" si="4"/>
        <v>557</v>
      </c>
      <c r="AI35" s="167">
        <v>214</v>
      </c>
      <c r="AJ35" s="167">
        <v>39</v>
      </c>
      <c r="AK35" s="167">
        <v>3</v>
      </c>
      <c r="AL35" s="167">
        <v>28</v>
      </c>
      <c r="AM35" s="167">
        <v>343</v>
      </c>
      <c r="AN35" s="167">
        <v>81</v>
      </c>
      <c r="AO35" s="167">
        <v>154</v>
      </c>
      <c r="AP35" s="167">
        <v>19</v>
      </c>
      <c r="AQ35" s="167">
        <v>5</v>
      </c>
      <c r="AR35" s="167">
        <v>0.27800000000000002</v>
      </c>
      <c r="AS35" s="167">
        <v>0.35</v>
      </c>
      <c r="AT35" s="167">
        <v>0.44500000000000001</v>
      </c>
      <c r="AU35" s="167">
        <v>0.79500000000000004</v>
      </c>
      <c r="AV35" s="53"/>
      <c r="AX35" s="154">
        <v>43</v>
      </c>
      <c r="AY35" s="145" t="s">
        <v>360</v>
      </c>
      <c r="AZ35" s="154">
        <v>21</v>
      </c>
      <c r="BA35" s="154">
        <v>0.99</v>
      </c>
      <c r="BB35" s="169">
        <f t="shared" si="5"/>
        <v>730.72519999999997</v>
      </c>
      <c r="BC35" s="169">
        <f t="shared" si="16"/>
        <v>94.16879999999999</v>
      </c>
      <c r="BD35" s="169">
        <f t="shared" si="6"/>
        <v>173.7252</v>
      </c>
      <c r="BE35" s="169">
        <f t="shared" si="7"/>
        <v>31.660199999999996</v>
      </c>
      <c r="BF35" s="169">
        <f t="shared" si="8"/>
        <v>2.0700899999999995</v>
      </c>
      <c r="BG35" s="169">
        <f t="shared" si="9"/>
        <v>22.730399999999996</v>
      </c>
      <c r="BH35" s="169">
        <f t="shared" si="10"/>
        <v>65.755800000000008</v>
      </c>
      <c r="BI35" s="169">
        <f t="shared" si="11"/>
        <v>160.08300000000003</v>
      </c>
      <c r="BJ35" s="168">
        <f t="shared" si="12"/>
        <v>0.23774354572690254</v>
      </c>
      <c r="BK35" s="168">
        <f t="shared" si="13"/>
        <v>0.25035543884152023</v>
      </c>
      <c r="BL35" s="168">
        <f t="shared" si="14"/>
        <v>0.38005638781856704</v>
      </c>
      <c r="BM35" s="168">
        <f t="shared" si="15"/>
        <v>0.63041182666008733</v>
      </c>
      <c r="BN35" s="53"/>
    </row>
    <row r="36" spans="1:66" ht="30">
      <c r="A36" s="79">
        <v>44</v>
      </c>
      <c r="B36" s="76" t="s">
        <v>341</v>
      </c>
      <c r="C36" s="77" t="s">
        <v>51</v>
      </c>
      <c r="D36" s="76">
        <v>21</v>
      </c>
      <c r="E36" s="76" t="s">
        <v>103</v>
      </c>
      <c r="F36" s="76" t="s">
        <v>54</v>
      </c>
      <c r="G36" s="76">
        <v>0</v>
      </c>
      <c r="H36" s="79">
        <v>20</v>
      </c>
      <c r="I36" s="90">
        <v>8.9</v>
      </c>
      <c r="J36" s="90">
        <v>18.3</v>
      </c>
      <c r="K36" s="85">
        <f>((AJ36*1)+(AK36*2)+(AL36*3))/AF36</f>
        <v>0.1828193832599119</v>
      </c>
      <c r="L36" s="148">
        <f>(AU36/0.735)*100</f>
        <v>112.24489795918366</v>
      </c>
      <c r="O36" s="79">
        <v>45</v>
      </c>
      <c r="P36" s="76" t="s">
        <v>342</v>
      </c>
      <c r="Q36" s="76">
        <v>21</v>
      </c>
      <c r="R36" s="181">
        <f t="shared" si="0"/>
        <v>6.0170492879561275</v>
      </c>
      <c r="S36" s="107">
        <f t="shared" si="2"/>
        <v>0.74264196376441927</v>
      </c>
      <c r="T36" s="180">
        <f t="shared" si="3"/>
        <v>133.81135710115353</v>
      </c>
      <c r="U36" s="108">
        <f t="shared" si="1"/>
        <v>0.32356257046223225</v>
      </c>
      <c r="V36" s="157"/>
      <c r="W36" s="158"/>
      <c r="Y36" s="137"/>
      <c r="Z36" s="70"/>
      <c r="AA36" s="145">
        <v>44</v>
      </c>
      <c r="AB36" s="145" t="s">
        <v>341</v>
      </c>
      <c r="AC36" s="145">
        <v>21</v>
      </c>
      <c r="AD36" s="145" t="s">
        <v>431</v>
      </c>
      <c r="AE36" s="145">
        <v>508</v>
      </c>
      <c r="AF36" s="145">
        <v>454</v>
      </c>
      <c r="AG36" s="145">
        <v>57</v>
      </c>
      <c r="AH36" s="153">
        <f t="shared" si="4"/>
        <v>323</v>
      </c>
      <c r="AI36" s="145">
        <v>131</v>
      </c>
      <c r="AJ36" s="145">
        <v>24</v>
      </c>
      <c r="AK36" s="145">
        <v>1</v>
      </c>
      <c r="AL36" s="145">
        <v>19</v>
      </c>
      <c r="AM36" s="153">
        <v>214</v>
      </c>
      <c r="AN36" s="153">
        <v>78</v>
      </c>
      <c r="AO36" s="153">
        <v>45</v>
      </c>
      <c r="AP36" s="153">
        <v>93</v>
      </c>
      <c r="AQ36" s="153">
        <v>1</v>
      </c>
      <c r="AR36" s="153">
        <v>0.28899999999999998</v>
      </c>
      <c r="AS36" s="153">
        <v>0.35399999999999998</v>
      </c>
      <c r="AT36" s="153">
        <v>0.47099999999999997</v>
      </c>
      <c r="AU36" s="153">
        <v>0.82499999999999996</v>
      </c>
      <c r="AV36" s="53"/>
      <c r="AX36" s="145">
        <v>44</v>
      </c>
      <c r="AY36" s="145" t="s">
        <v>341</v>
      </c>
      <c r="AZ36" s="145">
        <v>21</v>
      </c>
      <c r="BA36" s="145">
        <v>1.01</v>
      </c>
      <c r="BB36" s="169">
        <f t="shared" si="5"/>
        <v>431.49419999999998</v>
      </c>
      <c r="BC36" s="169">
        <f t="shared" si="16"/>
        <v>47.207399999999993</v>
      </c>
      <c r="BD36" s="169">
        <f t="shared" si="6"/>
        <v>108.49419999999999</v>
      </c>
      <c r="BE36" s="169">
        <f t="shared" si="7"/>
        <v>19.876799999999999</v>
      </c>
      <c r="BF36" s="169">
        <f t="shared" si="8"/>
        <v>0.70396999999999998</v>
      </c>
      <c r="BG36" s="169">
        <f t="shared" si="9"/>
        <v>15.735799999999998</v>
      </c>
      <c r="BH36" s="169">
        <f t="shared" si="10"/>
        <v>64.599599999999995</v>
      </c>
      <c r="BI36" s="169">
        <f t="shared" si="11"/>
        <v>47.722500000000004</v>
      </c>
      <c r="BJ36" s="168">
        <f t="shared" si="12"/>
        <v>0.25143837391093554</v>
      </c>
      <c r="BK36" s="168">
        <f t="shared" si="13"/>
        <v>0.31829461529564301</v>
      </c>
      <c r="BL36" s="168">
        <f t="shared" si="14"/>
        <v>0.41017084354783911</v>
      </c>
      <c r="BM36" s="168">
        <f t="shared" si="15"/>
        <v>0.72846545884348213</v>
      </c>
      <c r="BN36" s="53"/>
    </row>
    <row r="37" spans="1:66">
      <c r="A37" s="79">
        <v>45</v>
      </c>
      <c r="B37" s="76" t="s">
        <v>342</v>
      </c>
      <c r="C37" s="77" t="s">
        <v>332</v>
      </c>
      <c r="D37" s="76">
        <v>21</v>
      </c>
      <c r="E37" s="76" t="s">
        <v>103</v>
      </c>
      <c r="F37" s="76" t="s">
        <v>54</v>
      </c>
      <c r="G37" s="76">
        <v>0</v>
      </c>
      <c r="H37" s="79">
        <v>40</v>
      </c>
      <c r="I37" s="90">
        <v>24</v>
      </c>
      <c r="J37" s="90">
        <v>20</v>
      </c>
      <c r="K37" s="85">
        <f>((AJ37*1)+(AK37*2)+(AL37*3))/AF37</f>
        <v>0.39473684210526316</v>
      </c>
      <c r="L37" s="148">
        <f>(AU37/0.735)*100</f>
        <v>174.55782312925169</v>
      </c>
      <c r="O37" s="79">
        <v>47</v>
      </c>
      <c r="P37" s="76" t="s">
        <v>343</v>
      </c>
      <c r="Q37" s="79">
        <v>20</v>
      </c>
      <c r="R37" s="181">
        <f t="shared" si="0"/>
        <v>1.4217018410139459</v>
      </c>
      <c r="S37" s="107">
        <f t="shared" si="2"/>
        <v>0.52412312342014478</v>
      </c>
      <c r="T37" s="180">
        <f t="shared" si="3"/>
        <v>116.32984987361159</v>
      </c>
      <c r="U37" s="108">
        <f t="shared" si="1"/>
        <v>0.15829370497669382</v>
      </c>
      <c r="V37" s="157"/>
      <c r="W37" s="158"/>
      <c r="Y37" s="137"/>
      <c r="Z37" s="70"/>
      <c r="AA37" s="145">
        <v>45</v>
      </c>
      <c r="AB37" s="145" t="s">
        <v>342</v>
      </c>
      <c r="AC37" s="145">
        <v>21</v>
      </c>
      <c r="AD37" s="145" t="s">
        <v>431</v>
      </c>
      <c r="AE37" s="145">
        <v>50</v>
      </c>
      <c r="AF37" s="145">
        <v>38</v>
      </c>
      <c r="AG37" s="145">
        <v>14</v>
      </c>
      <c r="AH37" s="153">
        <f t="shared" si="4"/>
        <v>24</v>
      </c>
      <c r="AI37" s="145">
        <v>14</v>
      </c>
      <c r="AJ37" s="145">
        <v>3</v>
      </c>
      <c r="AK37" s="145">
        <v>0</v>
      </c>
      <c r="AL37" s="145">
        <v>4</v>
      </c>
      <c r="AM37" s="153">
        <v>29</v>
      </c>
      <c r="AN37" s="153">
        <v>13</v>
      </c>
      <c r="AO37" s="153">
        <v>12</v>
      </c>
      <c r="AP37" s="153">
        <v>10</v>
      </c>
      <c r="AQ37" s="153">
        <v>1</v>
      </c>
      <c r="AR37" s="153">
        <v>0.36799999999999999</v>
      </c>
      <c r="AS37" s="153">
        <v>0.52</v>
      </c>
      <c r="AT37" s="153">
        <v>0.76300000000000001</v>
      </c>
      <c r="AU37" s="153">
        <v>1.2829999999999999</v>
      </c>
      <c r="AV37" s="53"/>
      <c r="AX37" s="145">
        <v>45</v>
      </c>
      <c r="AY37" s="145" t="s">
        <v>342</v>
      </c>
      <c r="AZ37" s="145">
        <v>21</v>
      </c>
      <c r="BA37" s="145">
        <v>1</v>
      </c>
      <c r="BB37" s="169">
        <f t="shared" si="5"/>
        <v>35.479999999999997</v>
      </c>
      <c r="BC37" s="169">
        <f t="shared" si="16"/>
        <v>11.479999999999999</v>
      </c>
      <c r="BD37" s="169">
        <f t="shared" si="6"/>
        <v>11.479999999999999</v>
      </c>
      <c r="BE37" s="169">
        <f t="shared" si="7"/>
        <v>2.46</v>
      </c>
      <c r="BF37" s="169">
        <f t="shared" si="8"/>
        <v>0</v>
      </c>
      <c r="BG37" s="169">
        <f t="shared" si="9"/>
        <v>3.28</v>
      </c>
      <c r="BH37" s="169">
        <f t="shared" si="10"/>
        <v>10.66</v>
      </c>
      <c r="BI37" s="169">
        <f t="shared" si="11"/>
        <v>12.600000000000001</v>
      </c>
      <c r="BJ37" s="168">
        <f t="shared" si="12"/>
        <v>0.32356257046223225</v>
      </c>
      <c r="BK37" s="168">
        <f t="shared" si="13"/>
        <v>0.37691521961184882</v>
      </c>
      <c r="BL37" s="168">
        <f t="shared" si="14"/>
        <v>0.67023675310033826</v>
      </c>
      <c r="BM37" s="168">
        <f t="shared" si="15"/>
        <v>1.0471519727121872</v>
      </c>
      <c r="BN37" s="53"/>
    </row>
    <row r="38" spans="1:66">
      <c r="A38" s="79">
        <v>47</v>
      </c>
      <c r="B38" s="76" t="s">
        <v>343</v>
      </c>
      <c r="C38" s="77" t="s">
        <v>60</v>
      </c>
      <c r="D38" s="79">
        <v>20</v>
      </c>
      <c r="E38" s="79" t="s">
        <v>62</v>
      </c>
      <c r="F38" s="76" t="s">
        <v>54</v>
      </c>
      <c r="G38" s="76">
        <v>0</v>
      </c>
      <c r="H38" s="79">
        <v>50</v>
      </c>
      <c r="I38" s="90">
        <v>14.4</v>
      </c>
      <c r="J38" s="90">
        <v>23.6</v>
      </c>
      <c r="K38" s="85">
        <f>((AJ38*1)+(AK38*2)+(AL38*3))/AF38</f>
        <v>0.19642857142857142</v>
      </c>
      <c r="L38" s="148">
        <f>(AU38/0.735)*100</f>
        <v>119.8639455782313</v>
      </c>
      <c r="O38" s="79">
        <v>48</v>
      </c>
      <c r="P38" s="83" t="s">
        <v>344</v>
      </c>
      <c r="Q38" s="76">
        <v>19</v>
      </c>
      <c r="R38" s="181">
        <f t="shared" si="0"/>
        <v>0.77827244390075834</v>
      </c>
      <c r="S38" s="107">
        <f t="shared" si="2"/>
        <v>0.43456253405952627</v>
      </c>
      <c r="T38" s="180">
        <f t="shared" si="3"/>
        <v>109.1650027247621</v>
      </c>
      <c r="U38" s="108">
        <f t="shared" si="1"/>
        <v>0.15439611417344321</v>
      </c>
      <c r="V38" s="157"/>
      <c r="W38" s="158"/>
      <c r="Y38" s="137"/>
      <c r="Z38" s="70"/>
      <c r="AA38" s="145">
        <v>47</v>
      </c>
      <c r="AB38" s="145" t="s">
        <v>343</v>
      </c>
      <c r="AC38" s="145">
        <v>20</v>
      </c>
      <c r="AD38" s="145" t="s">
        <v>431</v>
      </c>
      <c r="AE38" s="145">
        <v>542</v>
      </c>
      <c r="AF38" s="145">
        <v>448</v>
      </c>
      <c r="AG38" s="145">
        <v>82</v>
      </c>
      <c r="AH38" s="153">
        <f t="shared" si="4"/>
        <v>319</v>
      </c>
      <c r="AI38" s="145">
        <v>129</v>
      </c>
      <c r="AJ38" s="145">
        <v>21</v>
      </c>
      <c r="AK38" s="145">
        <v>2</v>
      </c>
      <c r="AL38" s="145">
        <v>21</v>
      </c>
      <c r="AM38" s="153">
        <v>217</v>
      </c>
      <c r="AN38" s="153">
        <v>105</v>
      </c>
      <c r="AO38" s="153">
        <v>78</v>
      </c>
      <c r="AP38" s="153">
        <v>128</v>
      </c>
      <c r="AQ38" s="153">
        <v>5</v>
      </c>
      <c r="AR38" s="153">
        <v>0.28799999999999998</v>
      </c>
      <c r="AS38" s="153">
        <v>0.39700000000000002</v>
      </c>
      <c r="AT38" s="153">
        <v>0.48399999999999999</v>
      </c>
      <c r="AU38" s="153">
        <v>0.88100000000000001</v>
      </c>
      <c r="AV38" s="53"/>
      <c r="AX38" s="145">
        <v>47</v>
      </c>
      <c r="AY38" s="145" t="s">
        <v>343</v>
      </c>
      <c r="AZ38" s="145">
        <v>20</v>
      </c>
      <c r="BA38" s="145">
        <v>1</v>
      </c>
      <c r="BB38" s="169">
        <f t="shared" si="5"/>
        <v>424.78</v>
      </c>
      <c r="BC38" s="169">
        <f t="shared" si="16"/>
        <v>67.239999999999995</v>
      </c>
      <c r="BD38" s="169">
        <f t="shared" si="6"/>
        <v>105.77999999999999</v>
      </c>
      <c r="BE38" s="169">
        <f t="shared" si="7"/>
        <v>17.22</v>
      </c>
      <c r="BF38" s="169">
        <f t="shared" si="8"/>
        <v>1.3939999999999999</v>
      </c>
      <c r="BG38" s="169">
        <f t="shared" si="9"/>
        <v>17.22</v>
      </c>
      <c r="BH38" s="169">
        <f t="shared" si="10"/>
        <v>86.1</v>
      </c>
      <c r="BI38" s="169">
        <f t="shared" si="11"/>
        <v>81.900000000000006</v>
      </c>
      <c r="BJ38" s="168">
        <f t="shared" si="12"/>
        <v>0.24902302368284757</v>
      </c>
      <c r="BK38" s="168">
        <f t="shared" si="13"/>
        <v>0.32369513141469008</v>
      </c>
      <c r="BL38" s="168">
        <f t="shared" si="14"/>
        <v>0.41774094825556757</v>
      </c>
      <c r="BM38" s="168">
        <f t="shared" si="15"/>
        <v>0.74143607967025771</v>
      </c>
      <c r="BN38" s="53"/>
    </row>
    <row r="39" spans="1:66">
      <c r="A39" s="79">
        <v>48</v>
      </c>
      <c r="B39" s="83" t="s">
        <v>344</v>
      </c>
      <c r="C39" s="79" t="s">
        <v>108</v>
      </c>
      <c r="D39" s="76">
        <v>19</v>
      </c>
      <c r="E39" s="76" t="s">
        <v>62</v>
      </c>
      <c r="F39" s="76" t="s">
        <v>54</v>
      </c>
      <c r="G39" s="76">
        <v>0</v>
      </c>
      <c r="H39" s="79">
        <v>45</v>
      </c>
      <c r="I39" s="90">
        <v>17.5</v>
      </c>
      <c r="J39" s="90">
        <v>19.8</v>
      </c>
      <c r="K39" s="85">
        <f>((AJ39*1)+(AK39*2)+(AL39*3))/AF39</f>
        <v>0.13766233766233765</v>
      </c>
      <c r="L39" s="148">
        <f>(AU39/0.735)*100</f>
        <v>110.06802721088435</v>
      </c>
      <c r="O39" s="79">
        <v>49</v>
      </c>
      <c r="P39" s="76" t="s">
        <v>345</v>
      </c>
      <c r="Q39" s="76">
        <v>21</v>
      </c>
      <c r="R39" s="181">
        <f t="shared" si="0"/>
        <v>0.44243129269664649</v>
      </c>
      <c r="S39" s="107">
        <f t="shared" si="2"/>
        <v>0.38995420252918683</v>
      </c>
      <c r="T39" s="180">
        <f t="shared" si="3"/>
        <v>105.59633620233495</v>
      </c>
      <c r="U39" s="108">
        <f t="shared" si="1"/>
        <v>0.14374056580805375</v>
      </c>
      <c r="V39" s="157"/>
      <c r="W39" s="158"/>
      <c r="Y39" s="137"/>
      <c r="Z39" s="70"/>
      <c r="AA39" s="145">
        <v>48</v>
      </c>
      <c r="AB39" s="145" t="s">
        <v>344</v>
      </c>
      <c r="AC39" s="145">
        <v>19</v>
      </c>
      <c r="AD39" s="145" t="s">
        <v>431</v>
      </c>
      <c r="AE39" s="145">
        <v>481</v>
      </c>
      <c r="AF39" s="145">
        <v>385</v>
      </c>
      <c r="AG39" s="145">
        <v>69</v>
      </c>
      <c r="AH39" s="153">
        <f t="shared" si="4"/>
        <v>282</v>
      </c>
      <c r="AI39" s="145">
        <v>103</v>
      </c>
      <c r="AJ39" s="145">
        <v>17</v>
      </c>
      <c r="AK39" s="145">
        <v>3</v>
      </c>
      <c r="AL39" s="145">
        <v>10</v>
      </c>
      <c r="AM39" s="153">
        <v>156</v>
      </c>
      <c r="AN39" s="153">
        <v>62</v>
      </c>
      <c r="AO39" s="153">
        <v>84</v>
      </c>
      <c r="AP39" s="153">
        <v>95</v>
      </c>
      <c r="AQ39" s="153">
        <v>27</v>
      </c>
      <c r="AR39" s="153">
        <v>0.26800000000000002</v>
      </c>
      <c r="AS39" s="153">
        <v>0.40400000000000003</v>
      </c>
      <c r="AT39" s="153">
        <v>0.40500000000000003</v>
      </c>
      <c r="AU39" s="153">
        <v>0.80900000000000005</v>
      </c>
      <c r="AV39" s="53"/>
      <c r="AX39" s="145">
        <v>48</v>
      </c>
      <c r="AY39" s="145" t="s">
        <v>344</v>
      </c>
      <c r="AZ39" s="145">
        <v>19</v>
      </c>
      <c r="BA39" s="145">
        <v>1</v>
      </c>
      <c r="BB39" s="169">
        <f t="shared" si="5"/>
        <v>366.46</v>
      </c>
      <c r="BC39" s="169">
        <f t="shared" si="16"/>
        <v>56.58</v>
      </c>
      <c r="BD39" s="169">
        <f t="shared" si="6"/>
        <v>84.46</v>
      </c>
      <c r="BE39" s="169">
        <f t="shared" si="7"/>
        <v>13.94</v>
      </c>
      <c r="BF39" s="169">
        <f t="shared" si="8"/>
        <v>2.0909999999999997</v>
      </c>
      <c r="BG39" s="169">
        <f t="shared" si="9"/>
        <v>8.1999999999999993</v>
      </c>
      <c r="BH39" s="169">
        <f t="shared" si="10"/>
        <v>50.839999999999996</v>
      </c>
      <c r="BI39" s="169">
        <f t="shared" si="11"/>
        <v>88.2</v>
      </c>
      <c r="BJ39" s="168">
        <f t="shared" si="12"/>
        <v>0.23047535883861814</v>
      </c>
      <c r="BK39" s="168">
        <f t="shared" si="13"/>
        <v>0.26765578635014836</v>
      </c>
      <c r="BL39" s="168">
        <f t="shared" si="14"/>
        <v>0.34705561316378319</v>
      </c>
      <c r="BM39" s="168">
        <f t="shared" si="15"/>
        <v>0.6147113995139315</v>
      </c>
      <c r="BN39" s="53"/>
    </row>
    <row r="40" spans="1:66">
      <c r="A40" s="79">
        <v>49</v>
      </c>
      <c r="B40" s="76" t="s">
        <v>345</v>
      </c>
      <c r="C40" s="79" t="s">
        <v>60</v>
      </c>
      <c r="D40" s="76">
        <v>21</v>
      </c>
      <c r="E40" s="76" t="s">
        <v>53</v>
      </c>
      <c r="F40" s="76" t="s">
        <v>54</v>
      </c>
      <c r="G40" s="76">
        <v>0</v>
      </c>
      <c r="H40" s="79">
        <v>60</v>
      </c>
      <c r="I40" s="90">
        <v>14.1</v>
      </c>
      <c r="J40" s="90">
        <v>22</v>
      </c>
      <c r="K40" s="85">
        <f>((AJ40*1)+(AK40*2)+(AL40*3))/AF40</f>
        <v>0.1186046511627907</v>
      </c>
      <c r="L40" s="148">
        <f>(AU40/0.735)*100</f>
        <v>101.22448979591836</v>
      </c>
      <c r="O40" s="175"/>
      <c r="P40" s="176"/>
      <c r="Q40" s="177"/>
      <c r="R40" s="178"/>
      <c r="S40" s="179"/>
      <c r="T40" s="179"/>
      <c r="U40" s="179"/>
      <c r="V40" s="157"/>
      <c r="W40" s="158"/>
      <c r="Y40" s="137"/>
      <c r="Z40" s="70"/>
      <c r="AA40" s="145">
        <v>49</v>
      </c>
      <c r="AB40" s="145" t="s">
        <v>345</v>
      </c>
      <c r="AC40" s="145">
        <v>21</v>
      </c>
      <c r="AD40" s="145" t="s">
        <v>432</v>
      </c>
      <c r="AE40" s="145">
        <v>523</v>
      </c>
      <c r="AF40" s="145">
        <v>430</v>
      </c>
      <c r="AG40" s="145">
        <v>72</v>
      </c>
      <c r="AH40" s="153">
        <f t="shared" si="4"/>
        <v>323</v>
      </c>
      <c r="AI40" s="145">
        <v>107</v>
      </c>
      <c r="AJ40" s="145">
        <v>26</v>
      </c>
      <c r="AK40" s="145">
        <v>2</v>
      </c>
      <c r="AL40" s="145">
        <v>7</v>
      </c>
      <c r="AM40" s="153">
        <v>158</v>
      </c>
      <c r="AN40" s="153">
        <v>45</v>
      </c>
      <c r="AO40" s="153">
        <v>74</v>
      </c>
      <c r="AP40" s="153">
        <v>115</v>
      </c>
      <c r="AQ40" s="153">
        <v>35</v>
      </c>
      <c r="AR40" s="153">
        <v>0.249</v>
      </c>
      <c r="AS40" s="153">
        <v>0.377</v>
      </c>
      <c r="AT40" s="153">
        <v>0.36699999999999999</v>
      </c>
      <c r="AU40" s="153">
        <v>0.74399999999999999</v>
      </c>
      <c r="AX40" s="145">
        <v>49</v>
      </c>
      <c r="AY40" s="145" t="s">
        <v>345</v>
      </c>
      <c r="AZ40" s="145">
        <v>21</v>
      </c>
      <c r="BA40" s="145">
        <v>1</v>
      </c>
      <c r="BB40" s="169">
        <f t="shared" si="5"/>
        <v>410.74</v>
      </c>
      <c r="BC40" s="169">
        <f t="shared" si="16"/>
        <v>59.04</v>
      </c>
      <c r="BD40" s="169">
        <f t="shared" si="6"/>
        <v>87.74</v>
      </c>
      <c r="BE40" s="169">
        <f t="shared" si="7"/>
        <v>21.32</v>
      </c>
      <c r="BF40" s="169">
        <f t="shared" si="8"/>
        <v>1.3939999999999999</v>
      </c>
      <c r="BG40" s="169">
        <f t="shared" si="9"/>
        <v>5.7399999999999993</v>
      </c>
      <c r="BH40" s="169">
        <f t="shared" si="10"/>
        <v>36.9</v>
      </c>
      <c r="BI40" s="169">
        <f t="shared" si="11"/>
        <v>77.7</v>
      </c>
      <c r="BJ40" s="168">
        <f t="shared" si="12"/>
        <v>0.21361445196474654</v>
      </c>
      <c r="BK40" s="168">
        <f t="shared" si="13"/>
        <v>0.2372558723874062</v>
      </c>
      <c r="BL40" s="168">
        <f t="shared" si="14"/>
        <v>0.31423284803038415</v>
      </c>
      <c r="BM40" s="168">
        <f t="shared" si="15"/>
        <v>0.55148872041779029</v>
      </c>
    </row>
    <row r="41" spans="1:66">
      <c r="A41" s="140"/>
      <c r="B41" s="173"/>
      <c r="C41" s="174"/>
      <c r="D41" s="174"/>
      <c r="E41" s="174"/>
      <c r="F41" s="156"/>
      <c r="G41" s="156"/>
      <c r="H41" s="174"/>
      <c r="I41" s="140"/>
      <c r="J41" s="140"/>
      <c r="K41" s="174"/>
      <c r="L41" s="174"/>
      <c r="U41" s="158"/>
      <c r="V41" s="157"/>
      <c r="W41" s="158"/>
      <c r="Y41" s="137"/>
      <c r="Z41" s="70"/>
      <c r="AA41" s="137"/>
      <c r="AB41" s="137"/>
      <c r="AC41" s="137"/>
      <c r="AD41" s="137"/>
      <c r="AE41" s="137"/>
      <c r="AF41" s="137"/>
      <c r="AG41" s="137"/>
      <c r="AH41" s="137"/>
      <c r="AI41" s="137"/>
      <c r="AJ41" s="137"/>
      <c r="AK41" s="137"/>
      <c r="AL41" s="137"/>
    </row>
    <row r="42" spans="1:66">
      <c r="U42" s="158"/>
      <c r="V42" s="157"/>
      <c r="W42" s="158"/>
      <c r="Y42" s="137"/>
      <c r="Z42" s="70"/>
      <c r="AA42" s="137"/>
      <c r="AB42" s="137"/>
      <c r="AC42" s="137"/>
      <c r="AD42" s="137"/>
      <c r="AE42" s="137"/>
      <c r="AF42" s="137"/>
      <c r="AG42" s="137"/>
      <c r="AH42" s="137"/>
      <c r="AI42" s="137"/>
      <c r="AJ42" s="137"/>
      <c r="AK42" s="137"/>
      <c r="AL42" s="137"/>
    </row>
    <row r="43" spans="1:66">
      <c r="U43" s="158"/>
      <c r="V43" s="157"/>
      <c r="W43" s="158"/>
      <c r="Y43" s="137"/>
      <c r="Z43" s="70"/>
      <c r="AA43" s="137"/>
      <c r="AB43" s="137"/>
      <c r="AC43" s="137"/>
      <c r="AD43" s="137"/>
      <c r="AE43" s="137"/>
      <c r="AF43" s="137"/>
      <c r="AG43" s="137"/>
      <c r="AH43" s="137"/>
      <c r="AI43" s="137"/>
      <c r="AJ43" s="137"/>
      <c r="AK43" s="137"/>
      <c r="AL43" s="137"/>
    </row>
    <row r="44" spans="1:66">
      <c r="U44" s="158"/>
      <c r="V44" s="157"/>
      <c r="W44" s="158"/>
      <c r="Y44" s="137"/>
      <c r="Z44" s="70"/>
      <c r="AA44" s="137"/>
      <c r="AB44" s="137"/>
      <c r="AC44" s="137"/>
      <c r="AD44" s="137"/>
      <c r="AE44" s="137"/>
      <c r="AF44" s="137"/>
      <c r="AG44" s="137"/>
      <c r="AH44" s="137"/>
      <c r="AI44" s="137"/>
      <c r="AJ44" s="137"/>
      <c r="AK44" s="137"/>
      <c r="AL44" s="137"/>
    </row>
    <row r="45" spans="1:66">
      <c r="U45" s="158"/>
      <c r="V45" s="157"/>
      <c r="W45" s="158"/>
      <c r="Y45" s="137"/>
      <c r="Z45" s="70"/>
      <c r="AA45" s="137"/>
      <c r="AB45" s="137"/>
      <c r="AC45" s="137"/>
      <c r="AD45" s="137"/>
      <c r="AE45" s="137"/>
      <c r="AF45" s="137"/>
      <c r="AG45" s="137"/>
      <c r="AH45" s="137"/>
      <c r="AI45" s="137"/>
      <c r="AJ45" s="137"/>
      <c r="AK45" s="137"/>
      <c r="AL45" s="137"/>
    </row>
    <row r="46" spans="1:66">
      <c r="U46" s="158"/>
      <c r="V46" s="157"/>
      <c r="W46" s="158"/>
      <c r="Y46" s="137"/>
      <c r="Z46" s="70"/>
      <c r="AA46" s="137"/>
      <c r="AB46" s="165"/>
      <c r="AC46" s="165"/>
      <c r="AD46" s="165"/>
      <c r="AE46" s="165"/>
      <c r="AF46" s="165"/>
      <c r="AG46" s="165"/>
      <c r="AH46" s="165"/>
      <c r="AI46" s="165"/>
      <c r="AJ46" s="165"/>
      <c r="AK46" s="165"/>
      <c r="AL46" s="165"/>
      <c r="AM46" s="165"/>
      <c r="AN46" s="165"/>
      <c r="AO46" s="165"/>
      <c r="AP46" s="165"/>
      <c r="AQ46" s="165"/>
      <c r="AR46" s="165"/>
      <c r="AS46" s="165"/>
      <c r="AT46" s="165"/>
      <c r="AU46" s="165"/>
      <c r="AV46" s="165"/>
      <c r="AW46" s="165"/>
      <c r="AX46" s="165"/>
    </row>
    <row r="47" spans="1:66">
      <c r="U47" s="158"/>
      <c r="V47" s="157"/>
      <c r="W47" s="158"/>
      <c r="Y47" s="137"/>
      <c r="Z47" s="70"/>
      <c r="AA47" s="137"/>
      <c r="AB47" s="137"/>
      <c r="AC47" s="137"/>
      <c r="AD47" s="137"/>
      <c r="AE47" s="137"/>
      <c r="AF47" s="137"/>
      <c r="AG47" s="137"/>
      <c r="AH47" s="137"/>
      <c r="AI47" s="137"/>
      <c r="AJ47" s="137"/>
      <c r="AK47" s="137"/>
      <c r="AL47" s="137"/>
    </row>
    <row r="48" spans="1:66">
      <c r="U48" s="158"/>
      <c r="V48" s="157"/>
      <c r="W48" s="158"/>
      <c r="Y48" s="137"/>
      <c r="Z48" s="70"/>
      <c r="AA48" s="137"/>
      <c r="AB48" s="137"/>
      <c r="AC48" s="137"/>
      <c r="AD48" s="137"/>
      <c r="AE48" s="137"/>
      <c r="AF48" s="137"/>
      <c r="AG48" s="137"/>
      <c r="AH48" s="137"/>
      <c r="AI48" s="137"/>
      <c r="AJ48" s="137"/>
      <c r="AK48" s="137"/>
      <c r="AL48" s="137"/>
    </row>
    <row r="49" spans="9:29" ht="18">
      <c r="U49" s="158"/>
      <c r="V49" s="157"/>
      <c r="W49" s="158"/>
      <c r="Y49" s="138"/>
      <c r="Z49" s="70"/>
      <c r="AA49" s="138"/>
      <c r="AB49" s="138"/>
      <c r="AC49" s="138"/>
    </row>
    <row r="50" spans="9:29">
      <c r="U50" s="158"/>
      <c r="V50" s="157"/>
      <c r="W50" s="158"/>
    </row>
    <row r="51" spans="9:29">
      <c r="U51" s="158"/>
      <c r="V51" s="157"/>
      <c r="W51" s="158"/>
    </row>
    <row r="52" spans="9:29">
      <c r="U52" s="158"/>
      <c r="V52" s="157"/>
      <c r="W52" s="158"/>
    </row>
    <row r="53" spans="9:29">
      <c r="U53" s="158"/>
      <c r="V53" s="157"/>
      <c r="W53" s="158"/>
    </row>
    <row r="54" spans="9:29">
      <c r="U54" s="158"/>
      <c r="V54" s="157"/>
      <c r="W54" s="158"/>
    </row>
    <row r="55" spans="9:29">
      <c r="U55" s="158"/>
      <c r="V55" s="157"/>
      <c r="W55" s="158"/>
    </row>
    <row r="56" spans="9:29">
      <c r="U56" s="158"/>
      <c r="V56" s="157"/>
      <c r="W56" s="158"/>
    </row>
    <row r="57" spans="9:29">
      <c r="I57" s="140"/>
      <c r="J57" s="140"/>
    </row>
    <row r="58" spans="9:29">
      <c r="I58" s="139"/>
      <c r="J58" s="139"/>
    </row>
    <row r="59" spans="9:29">
      <c r="I59" s="139"/>
      <c r="J59" s="139"/>
    </row>
    <row r="60" spans="9:29">
      <c r="I60" s="139"/>
      <c r="J60" s="139"/>
    </row>
    <row r="61" spans="9:29">
      <c r="J61" s="139"/>
    </row>
  </sheetData>
  <mergeCells count="4">
    <mergeCell ref="AX1:BM1"/>
    <mergeCell ref="BP1:BQ1"/>
    <mergeCell ref="A1:L1"/>
    <mergeCell ref="AA1:AU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 Data</vt:lpstr>
      <vt:lpstr>Cleaned Data</vt:lpstr>
      <vt:lpstr>Summary Tables</vt:lpstr>
      <vt:lpstr>Pivot Tables</vt:lpstr>
      <vt:lpstr>Charts &amp; Graphs</vt:lpstr>
      <vt:lpstr>Prospect Data</vt:lpstr>
      <vt:lpstr>Comparative Analysis</vt:lpstr>
      <vt:lpstr>Dashboard (Projected Prospects)</vt:lpstr>
      <vt:lpstr>Top 50 Hitters to MLB 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Selph, Donovan</dc:creator>
  <cp:keywords/>
  <dc:description/>
  <cp:lastModifiedBy>Selph, Donovan</cp:lastModifiedBy>
  <cp:revision/>
  <dcterms:created xsi:type="dcterms:W3CDTF">2024-07-01T19:34:00Z</dcterms:created>
  <dcterms:modified xsi:type="dcterms:W3CDTF">2024-12-23T22:30:46Z</dcterms:modified>
  <cp:category/>
  <cp:contentStatus/>
</cp:coreProperties>
</file>