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UoA\2022 Trimester3\CRPB\"/>
    </mc:Choice>
  </mc:AlternateContent>
  <xr:revisionPtr revIDLastSave="0" documentId="13_ncr:1_{352BE3E8-F6E6-42E2-B083-2FE9F353CE13}" xr6:coauthVersionLast="47" xr6:coauthVersionMax="47" xr10:uidLastSave="{00000000-0000-0000-0000-000000000000}"/>
  <bookViews>
    <workbookView xWindow="30" yWindow="0" windowWidth="8950" windowHeight="8720" firstSheet="2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B8" i="1"/>
  <c r="B6" i="1"/>
  <c r="I45" i="4"/>
  <c r="I44" i="4"/>
  <c r="I47" i="4"/>
  <c r="I48" i="4"/>
  <c r="I46" i="4"/>
  <c r="I42" i="4"/>
  <c r="I40" i="4"/>
  <c r="I41" i="4"/>
  <c r="I43" i="4"/>
  <c r="I38" i="4"/>
  <c r="I49" i="4"/>
  <c r="I39" i="4"/>
  <c r="I37" i="4"/>
  <c r="C44" i="4"/>
  <c r="C37" i="4"/>
  <c r="C39" i="4"/>
  <c r="C38" i="4"/>
  <c r="C49" i="4"/>
  <c r="C43" i="4"/>
  <c r="C41" i="4"/>
  <c r="C40" i="4"/>
  <c r="C42" i="4"/>
  <c r="C47" i="4"/>
  <c r="C48" i="4"/>
  <c r="C45" i="4"/>
  <c r="C46" i="4"/>
  <c r="C18" i="4"/>
  <c r="K26" i="4"/>
  <c r="K15" i="4"/>
  <c r="K22" i="4"/>
  <c r="K32" i="4"/>
  <c r="K29" i="4"/>
  <c r="K33" i="4"/>
  <c r="K31" i="4"/>
  <c r="K28" i="4"/>
  <c r="K30" i="4"/>
  <c r="K24" i="4"/>
  <c r="K27" i="4"/>
  <c r="K16" i="4"/>
  <c r="K25" i="4"/>
  <c r="K20" i="4"/>
  <c r="K21" i="4"/>
  <c r="K19" i="4"/>
  <c r="K23" i="4"/>
  <c r="K18" i="4"/>
  <c r="K17" i="4"/>
  <c r="K14" i="4"/>
  <c r="K13" i="4"/>
  <c r="C14" i="4"/>
  <c r="C13" i="4"/>
  <c r="C17" i="4"/>
  <c r="C16" i="4"/>
  <c r="C22" i="4"/>
  <c r="C21" i="4"/>
  <c r="C25" i="4"/>
  <c r="C20" i="4"/>
  <c r="C24" i="4"/>
  <c r="C27" i="4"/>
  <c r="C19" i="4"/>
  <c r="C28" i="4"/>
  <c r="C29" i="4"/>
  <c r="C23" i="4"/>
  <c r="C15" i="4"/>
  <c r="C26" i="4"/>
  <c r="K4" i="4"/>
  <c r="K9" i="4"/>
  <c r="K8" i="4"/>
  <c r="K7" i="4"/>
  <c r="K6" i="4"/>
  <c r="K5" i="4"/>
  <c r="B7" i="1"/>
  <c r="B5" i="1"/>
  <c r="B4" i="1"/>
  <c r="B3" i="1"/>
  <c r="B2" i="1"/>
  <c r="C7" i="1"/>
  <c r="C6" i="1"/>
  <c r="C5" i="1"/>
  <c r="C4" i="1"/>
  <c r="C3" i="1"/>
  <c r="C2" i="1"/>
  <c r="D4" i="1"/>
  <c r="D3" i="1"/>
  <c r="D2" i="1"/>
  <c r="E7" i="1"/>
  <c r="E2" i="1"/>
  <c r="F7" i="1"/>
  <c r="F6" i="1"/>
  <c r="F5" i="1"/>
  <c r="F4" i="1"/>
  <c r="F3" i="1"/>
  <c r="F2" i="1"/>
  <c r="G7" i="1"/>
  <c r="G4" i="1"/>
  <c r="G2" i="1"/>
  <c r="H7" i="1"/>
  <c r="H6" i="1"/>
  <c r="H5" i="1"/>
  <c r="H4" i="1"/>
  <c r="H3" i="1"/>
  <c r="H2" i="1"/>
  <c r="I7" i="1"/>
  <c r="I4" i="1"/>
  <c r="I3" i="1"/>
  <c r="I2" i="1"/>
</calcChain>
</file>

<file path=xl/sharedStrings.xml><?xml version="1.0" encoding="utf-8"?>
<sst xmlns="http://schemas.openxmlformats.org/spreadsheetml/2006/main" count="345" uniqueCount="110">
  <si>
    <t>Certifications</t>
    <phoneticPr fontId="1" type="noConversion"/>
  </si>
  <si>
    <t>CISSP</t>
    <phoneticPr fontId="1" type="noConversion"/>
  </si>
  <si>
    <t>CISA</t>
    <phoneticPr fontId="1" type="noConversion"/>
  </si>
  <si>
    <t>CISM</t>
    <phoneticPr fontId="1" type="noConversion"/>
  </si>
  <si>
    <t>CompTIA Security+</t>
    <phoneticPr fontId="1" type="noConversion"/>
  </si>
  <si>
    <t>Soft Skills</t>
    <phoneticPr fontId="1" type="noConversion"/>
  </si>
  <si>
    <t>Analyst</t>
  </si>
  <si>
    <t>Architect</t>
  </si>
  <si>
    <t>Auditor</t>
  </si>
  <si>
    <t>Consultant</t>
  </si>
  <si>
    <t>Engineer</t>
  </si>
  <si>
    <t>Manager</t>
  </si>
  <si>
    <t>Tester</t>
  </si>
  <si>
    <t>Communication skills</t>
    <phoneticPr fontId="1" type="noConversion"/>
  </si>
  <si>
    <t>Risk management</t>
  </si>
  <si>
    <t>Problem-solving skills</t>
  </si>
  <si>
    <t>Project management</t>
  </si>
  <si>
    <t>Management skills</t>
    <phoneticPr fontId="1" type="noConversion"/>
  </si>
  <si>
    <t>Vulnerability management</t>
  </si>
  <si>
    <t>Specialist</t>
    <phoneticPr fontId="1" type="noConversion"/>
  </si>
  <si>
    <t>Technical skills</t>
    <phoneticPr fontId="1" type="noConversion"/>
  </si>
  <si>
    <t>Information security</t>
  </si>
  <si>
    <t>Information technology</t>
  </si>
  <si>
    <t>Incident response</t>
  </si>
  <si>
    <t>Information systems</t>
  </si>
  <si>
    <t>Cloud security</t>
  </si>
  <si>
    <t>Security operations</t>
  </si>
  <si>
    <t>Application security</t>
  </si>
  <si>
    <t>Security controls</t>
  </si>
  <si>
    <t>Security architecture</t>
  </si>
  <si>
    <t>Network security</t>
  </si>
  <si>
    <t>Enterprise architecture</t>
  </si>
  <si>
    <t>Software development</t>
  </si>
  <si>
    <t>Digital technology</t>
  </si>
  <si>
    <t>Internal audit</t>
  </si>
  <si>
    <t>Risk compliance</t>
  </si>
  <si>
    <t>Audit risk</t>
  </si>
  <si>
    <t>Data architecture</t>
  </si>
  <si>
    <t>Teaching programs</t>
  </si>
  <si>
    <t>Security service</t>
  </si>
  <si>
    <t>Diversity inclusion</t>
  </si>
  <si>
    <t>Security clearance</t>
  </si>
  <si>
    <t>Service delivery</t>
  </si>
  <si>
    <t>Penetration testing</t>
  </si>
  <si>
    <t>Technical security</t>
  </si>
  <si>
    <t>Security testing</t>
  </si>
  <si>
    <t>Security systems</t>
    <phoneticPr fontId="1" type="noConversion"/>
  </si>
  <si>
    <t>ITIL</t>
    <phoneticPr fontId="1" type="noConversion"/>
  </si>
  <si>
    <t>GIAC</t>
  </si>
  <si>
    <t>Rank</t>
    <phoneticPr fontId="1" type="noConversion"/>
  </si>
  <si>
    <t>Dice</t>
    <phoneticPr fontId="1" type="noConversion"/>
  </si>
  <si>
    <t>SA JobSearch</t>
    <phoneticPr fontId="1" type="noConversion"/>
  </si>
  <si>
    <t>Seek</t>
    <phoneticPr fontId="1" type="noConversion"/>
  </si>
  <si>
    <t>Combine</t>
    <phoneticPr fontId="1" type="noConversion"/>
  </si>
  <si>
    <t>Stack Overflow</t>
    <phoneticPr fontId="1" type="noConversion"/>
  </si>
  <si>
    <t>Access management</t>
    <phoneticPr fontId="1" type="noConversion"/>
  </si>
  <si>
    <t>Risk management</t>
    <phoneticPr fontId="1" type="noConversion"/>
  </si>
  <si>
    <t>Problem-solving skills</t>
    <phoneticPr fontId="1" type="noConversion"/>
  </si>
  <si>
    <t>Project management</t>
    <phoneticPr fontId="1" type="noConversion"/>
  </si>
  <si>
    <t>Vulnerability management</t>
    <phoneticPr fontId="1" type="noConversion"/>
  </si>
  <si>
    <t>Skills</t>
    <phoneticPr fontId="1" type="noConversion"/>
  </si>
  <si>
    <t>Mentions</t>
    <phoneticPr fontId="1" type="noConversion"/>
  </si>
  <si>
    <t>Soft Skills - Cybersecurity Industry</t>
    <phoneticPr fontId="1" type="noConversion"/>
  </si>
  <si>
    <t>Technical Skills</t>
    <phoneticPr fontId="1" type="noConversion"/>
  </si>
  <si>
    <t>Information security</t>
    <phoneticPr fontId="1" type="noConversion"/>
  </si>
  <si>
    <t>Information technology</t>
    <phoneticPr fontId="1" type="noConversion"/>
  </si>
  <si>
    <t>Incident response</t>
    <phoneticPr fontId="1" type="noConversion"/>
  </si>
  <si>
    <t>Information systems</t>
    <phoneticPr fontId="1" type="noConversion"/>
  </si>
  <si>
    <t>Cloud security</t>
    <phoneticPr fontId="1" type="noConversion"/>
  </si>
  <si>
    <t>Security operations</t>
    <phoneticPr fontId="1" type="noConversion"/>
  </si>
  <si>
    <t>Application security</t>
    <phoneticPr fontId="1" type="noConversion"/>
  </si>
  <si>
    <t>Security controls</t>
    <phoneticPr fontId="1" type="noConversion"/>
  </si>
  <si>
    <t>Security architecture</t>
    <phoneticPr fontId="1" type="noConversion"/>
  </si>
  <si>
    <t>Network security</t>
    <phoneticPr fontId="1" type="noConversion"/>
  </si>
  <si>
    <t>Enterprise architecture</t>
    <phoneticPr fontId="1" type="noConversion"/>
  </si>
  <si>
    <t>Software development</t>
    <phoneticPr fontId="1" type="noConversion"/>
  </si>
  <si>
    <t>Digital technology</t>
    <phoneticPr fontId="1" type="noConversion"/>
  </si>
  <si>
    <t>Internal audit</t>
    <phoneticPr fontId="1" type="noConversion"/>
  </si>
  <si>
    <t>Risk compliance</t>
    <phoneticPr fontId="1" type="noConversion"/>
  </si>
  <si>
    <t>Audit risk</t>
    <phoneticPr fontId="1" type="noConversion"/>
  </si>
  <si>
    <t>Data architecture</t>
    <phoneticPr fontId="1" type="noConversion"/>
  </si>
  <si>
    <t>Teaching programs</t>
    <phoneticPr fontId="1" type="noConversion"/>
  </si>
  <si>
    <t>Security service</t>
    <phoneticPr fontId="1" type="noConversion"/>
  </si>
  <si>
    <t>Security clearance</t>
    <phoneticPr fontId="1" type="noConversion"/>
  </si>
  <si>
    <t>Service delivery</t>
    <phoneticPr fontId="1" type="noConversion"/>
  </si>
  <si>
    <t>Professional Certifications</t>
    <phoneticPr fontId="1" type="noConversion"/>
  </si>
  <si>
    <t>Certifications</t>
  </si>
  <si>
    <t>CIPP</t>
    <phoneticPr fontId="1" type="noConversion"/>
  </si>
  <si>
    <t>GIAC</t>
    <phoneticPr fontId="1" type="noConversion"/>
  </si>
  <si>
    <t>CEH</t>
    <phoneticPr fontId="1" type="noConversion"/>
  </si>
  <si>
    <t>GSEC</t>
    <phoneticPr fontId="1" type="noConversion"/>
  </si>
  <si>
    <t>SSCP</t>
    <phoneticPr fontId="1" type="noConversion"/>
  </si>
  <si>
    <t>CASP+</t>
    <phoneticPr fontId="1" type="noConversion"/>
  </si>
  <si>
    <t>GCIH</t>
    <phoneticPr fontId="1" type="noConversion"/>
  </si>
  <si>
    <t>OSCP</t>
    <phoneticPr fontId="1" type="noConversion"/>
  </si>
  <si>
    <t>CompTIA</t>
    <phoneticPr fontId="1" type="noConversion"/>
  </si>
  <si>
    <t>Programming Languages - Cybersecurity Industry</t>
    <phoneticPr fontId="1" type="noConversion"/>
  </si>
  <si>
    <t>Java</t>
    <phoneticPr fontId="1" type="noConversion"/>
  </si>
  <si>
    <t>JavaScript</t>
    <phoneticPr fontId="1" type="noConversion"/>
  </si>
  <si>
    <t>PHP</t>
    <phoneticPr fontId="1" type="noConversion"/>
  </si>
  <si>
    <t>C#</t>
    <phoneticPr fontId="1" type="noConversion"/>
  </si>
  <si>
    <t>Python</t>
    <phoneticPr fontId="1" type="noConversion"/>
  </si>
  <si>
    <t>HTML</t>
    <phoneticPr fontId="1" type="noConversion"/>
  </si>
  <si>
    <t>C</t>
    <phoneticPr fontId="1" type="noConversion"/>
  </si>
  <si>
    <t>C++</t>
    <phoneticPr fontId="1" type="noConversion"/>
  </si>
  <si>
    <t>77+</t>
    <phoneticPr fontId="1" type="noConversion"/>
  </si>
  <si>
    <t>31+</t>
    <phoneticPr fontId="1" type="noConversion"/>
  </si>
  <si>
    <t>4+</t>
    <phoneticPr fontId="1" type="noConversion"/>
  </si>
  <si>
    <t>30+</t>
    <phoneticPr fontId="1" type="noConversion"/>
  </si>
  <si>
    <t>41+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</si>
</sst>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4" xfId="0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Analyst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F97-4531-857A-91C227B567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F97-4531-857A-91C227B567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F97-4531-857A-91C227B567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F97-4531-857A-91C227B567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F97-4531-857A-91C227B567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F97-4531-857A-91C227B567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F97-4531-857A-91C227B567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F97-4531-857A-91C227B567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F97-4531-857A-91C227B567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F97-4531-857A-91C227B567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Sheet3!$B$2:$B$11</c:f>
              <c:numCache>
                <c:formatCode>General</c:formatCode>
                <c:ptCount val="10"/>
                <c:pt idx="0">
                  <c:v>458</c:v>
                </c:pt>
                <c:pt idx="1">
                  <c:v>123</c:v>
                </c:pt>
                <c:pt idx="2">
                  <c:v>115</c:v>
                </c:pt>
                <c:pt idx="3">
                  <c:v>0</c:v>
                </c:pt>
                <c:pt idx="4">
                  <c:v>0</c:v>
                </c:pt>
                <c:pt idx="5">
                  <c:v>80</c:v>
                </c:pt>
                <c:pt idx="6">
                  <c:v>0</c:v>
                </c:pt>
                <c:pt idx="7">
                  <c:v>122</c:v>
                </c:pt>
                <c:pt idx="8">
                  <c:v>119</c:v>
                </c:pt>
                <c:pt idx="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E-44DB-B15C-BFFE5934ED8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0</xdr:row>
      <xdr:rowOff>0</xdr:rowOff>
    </xdr:from>
    <xdr:to>
      <xdr:col>16</xdr:col>
      <xdr:colOff>120650</xdr:colOff>
      <xdr:row>15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7804EE8-D36D-49C1-2692-FCDAF14B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G11" sqref="G11"/>
    </sheetView>
  </sheetViews>
  <sheetFormatPr defaultRowHeight="14"/>
  <cols>
    <col min="1" max="1" width="16.9140625" bestFit="1" customWidth="1"/>
    <col min="5" max="5" width="9.6640625" bestFit="1" customWidth="1"/>
  </cols>
  <sheetData>
    <row r="1" spans="1:9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19</v>
      </c>
    </row>
    <row r="2" spans="1:9">
      <c r="A2" s="1" t="s">
        <v>1</v>
      </c>
      <c r="B2" s="1">
        <f>41+7+4+35</f>
        <v>87</v>
      </c>
      <c r="C2" s="1">
        <f>15+4+20</f>
        <v>39</v>
      </c>
      <c r="D2" s="1">
        <f>6+26</f>
        <v>32</v>
      </c>
      <c r="E2" s="1">
        <f>15+94</f>
        <v>109</v>
      </c>
      <c r="F2" s="1">
        <f>99+4+44</f>
        <v>147</v>
      </c>
      <c r="G2" s="1">
        <f>88+3</f>
        <v>91</v>
      </c>
      <c r="H2" s="1">
        <f>11+99+1+25</f>
        <v>136</v>
      </c>
      <c r="I2" s="1">
        <f>3+4+61</f>
        <v>68</v>
      </c>
    </row>
    <row r="3" spans="1:9">
      <c r="A3" s="1" t="s">
        <v>2</v>
      </c>
      <c r="B3" s="1">
        <f>9+12</f>
        <v>21</v>
      </c>
      <c r="C3" s="1">
        <f>4+4</f>
        <v>8</v>
      </c>
      <c r="D3" s="1">
        <f>10+3+42</f>
        <v>55</v>
      </c>
      <c r="E3" s="1">
        <v>45</v>
      </c>
      <c r="F3" s="1">
        <f>29+14</f>
        <v>43</v>
      </c>
      <c r="G3" s="1">
        <v>52</v>
      </c>
      <c r="H3" s="1">
        <f>4+35+1+8</f>
        <v>48</v>
      </c>
      <c r="I3" s="1">
        <f>8+31</f>
        <v>39</v>
      </c>
    </row>
    <row r="4" spans="1:9">
      <c r="A4" s="1" t="s">
        <v>3</v>
      </c>
      <c r="B4" s="1">
        <f>7+3+24</f>
        <v>34</v>
      </c>
      <c r="C4" s="1">
        <f>5+3+10</f>
        <v>18</v>
      </c>
      <c r="D4" s="1">
        <f>2+1+1+34</f>
        <v>38</v>
      </c>
      <c r="E4" s="1">
        <v>70</v>
      </c>
      <c r="F4" s="1">
        <f>19+4+31</f>
        <v>54</v>
      </c>
      <c r="G4" s="1">
        <f>76+2</f>
        <v>78</v>
      </c>
      <c r="H4" s="1">
        <f>3+68+1+14</f>
        <v>86</v>
      </c>
      <c r="I4" s="1">
        <f>3+5+44</f>
        <v>52</v>
      </c>
    </row>
    <row r="5" spans="1:9">
      <c r="A5" s="1" t="s">
        <v>48</v>
      </c>
      <c r="B5" s="1">
        <f>13+1+10</f>
        <v>24</v>
      </c>
      <c r="C5" s="1">
        <f>4+1+6</f>
        <v>11</v>
      </c>
      <c r="D5" s="1">
        <v>0</v>
      </c>
      <c r="E5" s="1">
        <v>23</v>
      </c>
      <c r="F5" s="1">
        <f>19+1+11</f>
        <v>31</v>
      </c>
      <c r="G5" s="1">
        <v>20</v>
      </c>
      <c r="H5" s="1">
        <f>7+21+5</f>
        <v>33</v>
      </c>
      <c r="I5" s="1">
        <v>13</v>
      </c>
    </row>
    <row r="6" spans="1:9">
      <c r="A6" s="1" t="s">
        <v>4</v>
      </c>
      <c r="B6" s="1">
        <f>20+15+1+6</f>
        <v>42</v>
      </c>
      <c r="C6" s="1">
        <f>2+2+1+1</f>
        <v>6</v>
      </c>
      <c r="D6" s="1">
        <v>2</v>
      </c>
      <c r="E6" s="1">
        <v>6</v>
      </c>
      <c r="F6" s="1">
        <f>12+1+8</f>
        <v>21</v>
      </c>
      <c r="G6" s="1">
        <v>13</v>
      </c>
      <c r="H6" s="1">
        <f>4+13+11</f>
        <v>28</v>
      </c>
      <c r="I6" s="1">
        <v>9</v>
      </c>
    </row>
    <row r="7" spans="1:9">
      <c r="A7" s="1" t="s">
        <v>47</v>
      </c>
      <c r="B7" s="1">
        <f>7+8+1+6</f>
        <v>22</v>
      </c>
      <c r="C7" s="1">
        <f>3+8+5</f>
        <v>16</v>
      </c>
      <c r="D7" s="1">
        <v>46</v>
      </c>
      <c r="E7" s="1">
        <f>18+43</f>
        <v>61</v>
      </c>
      <c r="F7" s="1">
        <f>12+8+43</f>
        <v>63</v>
      </c>
      <c r="G7" s="1">
        <f>16+58</f>
        <v>74</v>
      </c>
      <c r="H7" s="1">
        <f>41+14</f>
        <v>55</v>
      </c>
      <c r="I7" s="1">
        <f>9+36</f>
        <v>45</v>
      </c>
    </row>
    <row r="8" spans="1:9">
      <c r="A8" s="2" t="s">
        <v>89</v>
      </c>
      <c r="B8" s="1">
        <f>26+7+2+3</f>
        <v>38</v>
      </c>
      <c r="C8" s="1">
        <v>8</v>
      </c>
      <c r="D8" s="1">
        <v>9</v>
      </c>
      <c r="E8" s="1">
        <v>19</v>
      </c>
      <c r="F8" s="1">
        <v>57</v>
      </c>
      <c r="G8" s="1">
        <v>21</v>
      </c>
      <c r="H8" s="1">
        <v>42</v>
      </c>
      <c r="I8" s="1">
        <v>20</v>
      </c>
    </row>
    <row r="9" spans="1:9">
      <c r="A9" s="2" t="s">
        <v>93</v>
      </c>
      <c r="B9" s="1">
        <v>12</v>
      </c>
      <c r="C9" s="1">
        <v>3</v>
      </c>
      <c r="D9" s="1">
        <v>0</v>
      </c>
      <c r="E9" s="1">
        <v>4</v>
      </c>
      <c r="F9" s="1">
        <v>13</v>
      </c>
      <c r="G9" s="1">
        <v>2</v>
      </c>
      <c r="H9" s="1">
        <v>8</v>
      </c>
      <c r="I9" s="1">
        <v>4</v>
      </c>
    </row>
    <row r="10" spans="1:9">
      <c r="A10" s="2" t="s">
        <v>92</v>
      </c>
      <c r="B10" s="1">
        <v>2</v>
      </c>
      <c r="C10" s="1">
        <v>1</v>
      </c>
      <c r="D10" s="1">
        <v>0</v>
      </c>
      <c r="E10" s="1">
        <v>0</v>
      </c>
      <c r="F10" s="1">
        <v>5</v>
      </c>
      <c r="G10" s="1">
        <v>0</v>
      </c>
      <c r="H10" s="1">
        <v>2</v>
      </c>
      <c r="I10" s="1">
        <v>2</v>
      </c>
    </row>
    <row r="11" spans="1:9">
      <c r="A11" s="2" t="s">
        <v>94</v>
      </c>
      <c r="B11" s="1">
        <v>13</v>
      </c>
      <c r="C11" s="1">
        <v>7</v>
      </c>
      <c r="D11" s="1">
        <v>1</v>
      </c>
      <c r="E11" s="1">
        <v>11</v>
      </c>
      <c r="F11" s="1">
        <v>29</v>
      </c>
      <c r="G11" s="1">
        <v>8</v>
      </c>
      <c r="H11" s="1">
        <f>16+65</f>
        <v>81</v>
      </c>
      <c r="I11" s="1">
        <v>9</v>
      </c>
    </row>
    <row r="12" spans="1:9">
      <c r="A12" s="2" t="s">
        <v>90</v>
      </c>
      <c r="B12" s="1">
        <v>17</v>
      </c>
      <c r="C12" s="1">
        <v>6</v>
      </c>
      <c r="D12" s="1">
        <v>0</v>
      </c>
      <c r="E12" s="1">
        <v>10</v>
      </c>
      <c r="F12" s="1">
        <v>18</v>
      </c>
      <c r="G12" s="1">
        <v>7</v>
      </c>
      <c r="H12" s="1">
        <v>24</v>
      </c>
      <c r="I12" s="1">
        <v>2</v>
      </c>
    </row>
    <row r="13" spans="1:9">
      <c r="A13" s="2" t="s">
        <v>91</v>
      </c>
      <c r="B13" s="1">
        <v>16</v>
      </c>
      <c r="C13" s="1">
        <v>1</v>
      </c>
      <c r="D13" s="1">
        <v>1</v>
      </c>
      <c r="E13" s="1">
        <v>4</v>
      </c>
      <c r="F13" s="1">
        <v>13</v>
      </c>
      <c r="G13" s="1">
        <v>5</v>
      </c>
      <c r="H13" s="1">
        <v>11</v>
      </c>
      <c r="I13" s="1">
        <v>2</v>
      </c>
    </row>
    <row r="14" spans="1:9">
      <c r="A14" s="2" t="s">
        <v>87</v>
      </c>
      <c r="B14" s="1">
        <v>1</v>
      </c>
      <c r="C14" s="1">
        <v>0</v>
      </c>
      <c r="D14" s="1">
        <v>0</v>
      </c>
      <c r="E14" s="1">
        <v>2</v>
      </c>
      <c r="F14" s="1">
        <v>2</v>
      </c>
      <c r="G14" s="1">
        <v>2</v>
      </c>
      <c r="H14" s="1">
        <v>1</v>
      </c>
      <c r="I1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DF21E-A4BD-47B9-9720-90007C376093}">
  <dimension ref="A1:I9"/>
  <sheetViews>
    <sheetView topLeftCell="A4" workbookViewId="0">
      <selection activeCell="I1" sqref="I1:I7"/>
    </sheetView>
  </sheetViews>
  <sheetFormatPr defaultRowHeight="14"/>
  <cols>
    <col min="1" max="1" width="22.75" bestFit="1" customWidth="1"/>
    <col min="2" max="2" width="6.83203125" bestFit="1" customWidth="1"/>
    <col min="3" max="3" width="8.08203125" bestFit="1" customWidth="1"/>
    <col min="4" max="4" width="7.08203125" bestFit="1" customWidth="1"/>
    <col min="5" max="5" width="9.6640625" bestFit="1" customWidth="1"/>
    <col min="6" max="6" width="8" bestFit="1" customWidth="1"/>
    <col min="7" max="7" width="8.1640625" bestFit="1" customWidth="1"/>
  </cols>
  <sheetData>
    <row r="1" spans="1: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19</v>
      </c>
    </row>
    <row r="2" spans="1:9">
      <c r="A2" s="1" t="s">
        <v>13</v>
      </c>
      <c r="B2" s="1">
        <v>321</v>
      </c>
      <c r="C2" s="1">
        <v>123</v>
      </c>
      <c r="D2" s="1">
        <v>394</v>
      </c>
      <c r="E2" s="1">
        <v>419</v>
      </c>
      <c r="F2" s="1">
        <v>382</v>
      </c>
      <c r="G2" s="1">
        <v>322</v>
      </c>
      <c r="H2" s="1">
        <v>140</v>
      </c>
      <c r="I2" s="1">
        <v>230</v>
      </c>
    </row>
    <row r="3" spans="1:9">
      <c r="A3" s="1" t="s">
        <v>14</v>
      </c>
      <c r="B3" s="1">
        <v>78</v>
      </c>
      <c r="C3" s="1">
        <v>69</v>
      </c>
      <c r="D3" s="1">
        <v>338</v>
      </c>
      <c r="E3" s="1">
        <v>180</v>
      </c>
      <c r="F3" s="1">
        <v>0</v>
      </c>
      <c r="G3" s="1">
        <v>215</v>
      </c>
      <c r="H3" s="1">
        <v>0</v>
      </c>
      <c r="I3" s="1">
        <v>160</v>
      </c>
    </row>
    <row r="4" spans="1:9">
      <c r="A4" s="1" t="s">
        <v>15</v>
      </c>
      <c r="B4" s="1">
        <v>71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>
      <c r="A5" s="1" t="s">
        <v>16</v>
      </c>
      <c r="B5" s="1">
        <v>0</v>
      </c>
      <c r="C5" s="1">
        <v>0</v>
      </c>
      <c r="D5" s="1">
        <v>107</v>
      </c>
      <c r="E5" s="1">
        <v>93</v>
      </c>
      <c r="F5" s="1">
        <v>149</v>
      </c>
      <c r="G5" s="1">
        <v>128</v>
      </c>
      <c r="H5" s="1">
        <v>0</v>
      </c>
      <c r="I5" s="1">
        <v>89</v>
      </c>
    </row>
    <row r="6" spans="1:9">
      <c r="A6" s="1" t="s">
        <v>17</v>
      </c>
      <c r="B6" s="1">
        <v>0</v>
      </c>
      <c r="C6" s="1">
        <v>0</v>
      </c>
      <c r="D6" s="1">
        <v>89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>
      <c r="A7" s="1" t="s">
        <v>18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42</v>
      </c>
      <c r="I7" s="1">
        <v>63</v>
      </c>
    </row>
    <row r="8" spans="1:9">
      <c r="A8" s="3"/>
      <c r="B8" s="3"/>
      <c r="C8" s="3"/>
      <c r="D8" s="3"/>
      <c r="E8" s="3"/>
      <c r="F8" s="3"/>
      <c r="G8" s="3"/>
    </row>
    <row r="9" spans="1:9">
      <c r="A9" s="3"/>
      <c r="B9" s="3"/>
      <c r="C9" s="3"/>
      <c r="D9" s="3"/>
      <c r="E9" s="3"/>
      <c r="F9" s="3"/>
      <c r="G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5685-ED6C-4E12-8BB0-79064CE3F9A6}">
  <dimension ref="A1:I27"/>
  <sheetViews>
    <sheetView workbookViewId="0">
      <selection activeCell="I20" sqref="I1:I20"/>
    </sheetView>
  </sheetViews>
  <sheetFormatPr defaultRowHeight="14"/>
  <cols>
    <col min="1" max="1" width="20.4140625" bestFit="1" customWidth="1"/>
    <col min="5" max="5" width="9.6640625" bestFit="1" customWidth="1"/>
  </cols>
  <sheetData>
    <row r="1" spans="1:9">
      <c r="A1" s="1" t="s">
        <v>20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19</v>
      </c>
    </row>
    <row r="2" spans="1:9">
      <c r="A2" s="1" t="s">
        <v>21</v>
      </c>
      <c r="B2" s="1">
        <v>458</v>
      </c>
      <c r="C2" s="1">
        <v>204</v>
      </c>
      <c r="D2" s="1">
        <v>217</v>
      </c>
      <c r="E2" s="1">
        <v>551</v>
      </c>
      <c r="F2" s="1">
        <v>480</v>
      </c>
      <c r="G2" s="1">
        <v>549</v>
      </c>
      <c r="H2" s="1">
        <v>553</v>
      </c>
      <c r="I2" s="1">
        <v>346</v>
      </c>
    </row>
    <row r="3" spans="1:9">
      <c r="A3" s="1" t="s">
        <v>22</v>
      </c>
      <c r="B3" s="1">
        <v>123</v>
      </c>
      <c r="C3" s="1">
        <v>0</v>
      </c>
      <c r="D3" s="1">
        <v>255</v>
      </c>
      <c r="E3" s="1">
        <v>0</v>
      </c>
      <c r="F3" s="1">
        <v>185</v>
      </c>
      <c r="G3" s="1">
        <v>165</v>
      </c>
      <c r="H3" s="1">
        <v>0</v>
      </c>
      <c r="I3" s="1">
        <v>106</v>
      </c>
    </row>
    <row r="4" spans="1:9">
      <c r="A4" s="1" t="s">
        <v>23</v>
      </c>
      <c r="B4" s="1">
        <v>115</v>
      </c>
      <c r="C4" s="1">
        <v>0</v>
      </c>
      <c r="D4" s="1">
        <v>0</v>
      </c>
      <c r="E4" s="1">
        <v>0</v>
      </c>
      <c r="F4" s="1">
        <v>143</v>
      </c>
      <c r="G4" s="1">
        <v>88</v>
      </c>
      <c r="H4" s="1">
        <v>290</v>
      </c>
      <c r="I4" s="1">
        <v>89</v>
      </c>
    </row>
    <row r="5" spans="1:9">
      <c r="A5" s="1" t="s">
        <v>24</v>
      </c>
      <c r="B5" s="1">
        <v>0</v>
      </c>
      <c r="C5" s="1">
        <v>0</v>
      </c>
      <c r="D5" s="1">
        <v>109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>
      <c r="A6" s="1" t="s">
        <v>25</v>
      </c>
      <c r="B6" s="1">
        <v>0</v>
      </c>
      <c r="C6" s="1">
        <v>48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>
      <c r="A7" s="1" t="s">
        <v>26</v>
      </c>
      <c r="B7" s="1">
        <v>80</v>
      </c>
      <c r="C7" s="1">
        <v>0</v>
      </c>
      <c r="D7" s="1">
        <v>0</v>
      </c>
      <c r="E7" s="1">
        <v>140</v>
      </c>
      <c r="F7" s="1">
        <v>162</v>
      </c>
      <c r="G7" s="1">
        <v>131</v>
      </c>
      <c r="H7" s="1">
        <v>187</v>
      </c>
      <c r="I7" s="1">
        <v>145</v>
      </c>
    </row>
    <row r="8" spans="1:9">
      <c r="A8" s="1" t="s">
        <v>27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163</v>
      </c>
      <c r="I8" s="1">
        <v>0</v>
      </c>
    </row>
    <row r="9" spans="1:9">
      <c r="A9" s="1" t="s">
        <v>28</v>
      </c>
      <c r="B9" s="1">
        <v>122</v>
      </c>
      <c r="C9" s="1">
        <v>40</v>
      </c>
      <c r="D9" s="1">
        <v>0</v>
      </c>
      <c r="E9" s="1">
        <v>96</v>
      </c>
      <c r="F9" s="1">
        <v>146</v>
      </c>
      <c r="G9" s="1">
        <v>0</v>
      </c>
      <c r="H9" s="1">
        <v>143</v>
      </c>
      <c r="I9" s="1">
        <v>64</v>
      </c>
    </row>
    <row r="10" spans="1:9">
      <c r="A10" s="1" t="s">
        <v>29</v>
      </c>
      <c r="B10" s="1">
        <v>119</v>
      </c>
      <c r="C10" s="1">
        <v>171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>
      <c r="A11" s="1" t="s">
        <v>30</v>
      </c>
      <c r="B11" s="1">
        <v>89</v>
      </c>
      <c r="C11" s="1">
        <v>46</v>
      </c>
      <c r="D11" s="1">
        <v>0</v>
      </c>
      <c r="E11" s="1">
        <v>0</v>
      </c>
      <c r="F11" s="1">
        <v>172</v>
      </c>
      <c r="G11" s="1">
        <v>0</v>
      </c>
      <c r="H11" s="1">
        <v>0</v>
      </c>
      <c r="I11" s="1">
        <v>0</v>
      </c>
    </row>
    <row r="12" spans="1:9">
      <c r="A12" s="1" t="s">
        <v>31</v>
      </c>
      <c r="B12" s="1">
        <v>0</v>
      </c>
      <c r="C12" s="1">
        <v>174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9">
      <c r="A13" s="1" t="s">
        <v>32</v>
      </c>
      <c r="B13" s="1">
        <v>0</v>
      </c>
      <c r="C13" s="1">
        <v>51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9">
      <c r="A14" s="1" t="s">
        <v>33</v>
      </c>
      <c r="B14" s="1">
        <v>0</v>
      </c>
      <c r="C14" s="1">
        <v>40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9">
      <c r="A15" s="1" t="s">
        <v>34</v>
      </c>
      <c r="B15" s="1">
        <v>0</v>
      </c>
      <c r="C15" s="1">
        <v>0</v>
      </c>
      <c r="D15" s="1">
        <v>423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9">
      <c r="A16" s="1" t="s">
        <v>35</v>
      </c>
      <c r="B16" s="1">
        <v>0</v>
      </c>
      <c r="C16" s="1">
        <v>0</v>
      </c>
      <c r="D16" s="1">
        <v>89</v>
      </c>
      <c r="E16" s="1">
        <v>0</v>
      </c>
      <c r="F16" s="1">
        <v>0</v>
      </c>
      <c r="G16" s="1">
        <v>91</v>
      </c>
      <c r="H16" s="1">
        <v>0</v>
      </c>
      <c r="I16" s="1">
        <v>0</v>
      </c>
    </row>
    <row r="17" spans="1:9">
      <c r="A17" s="1" t="s">
        <v>36</v>
      </c>
      <c r="B17" s="1">
        <v>0</v>
      </c>
      <c r="C17" s="1">
        <v>0</v>
      </c>
      <c r="D17" s="1">
        <v>83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>
      <c r="A18" s="1" t="s">
        <v>37</v>
      </c>
      <c r="B18" s="1">
        <v>0</v>
      </c>
      <c r="C18" s="1">
        <v>0</v>
      </c>
      <c r="D18" s="1">
        <v>0</v>
      </c>
      <c r="E18" s="1">
        <v>196</v>
      </c>
      <c r="F18" s="1">
        <v>0</v>
      </c>
      <c r="G18" s="1">
        <v>0</v>
      </c>
      <c r="H18" s="1">
        <v>0</v>
      </c>
      <c r="I18" s="1">
        <v>0</v>
      </c>
    </row>
    <row r="19" spans="1:9">
      <c r="A19" s="1" t="s">
        <v>38</v>
      </c>
      <c r="B19" s="1">
        <v>0</v>
      </c>
      <c r="C19" s="1">
        <v>0</v>
      </c>
      <c r="D19" s="1">
        <v>0</v>
      </c>
      <c r="E19" s="1">
        <v>196</v>
      </c>
      <c r="F19" s="1">
        <v>0</v>
      </c>
      <c r="G19" s="1">
        <v>0</v>
      </c>
      <c r="H19" s="1">
        <v>0</v>
      </c>
      <c r="I19" s="1">
        <v>0</v>
      </c>
    </row>
    <row r="20" spans="1:9">
      <c r="A20" s="1" t="s">
        <v>39</v>
      </c>
      <c r="B20" s="1">
        <v>0</v>
      </c>
      <c r="C20" s="1">
        <v>0</v>
      </c>
      <c r="D20" s="1">
        <v>0</v>
      </c>
      <c r="E20" s="1">
        <v>118</v>
      </c>
      <c r="F20" s="1">
        <v>0</v>
      </c>
      <c r="G20" s="1">
        <v>107</v>
      </c>
      <c r="H20" s="1">
        <v>0</v>
      </c>
      <c r="I20" s="1">
        <v>79</v>
      </c>
    </row>
    <row r="21" spans="1:9">
      <c r="A21" s="1" t="s">
        <v>40</v>
      </c>
      <c r="B21" s="1">
        <v>0</v>
      </c>
      <c r="C21" s="1">
        <v>0</v>
      </c>
      <c r="D21" s="1">
        <v>0</v>
      </c>
      <c r="E21" s="1">
        <v>98</v>
      </c>
      <c r="F21" s="1">
        <v>0</v>
      </c>
      <c r="G21" s="1">
        <v>0</v>
      </c>
      <c r="H21" s="1">
        <v>0</v>
      </c>
      <c r="I21" s="1">
        <v>0</v>
      </c>
    </row>
    <row r="22" spans="1:9">
      <c r="A22" s="1" t="s">
        <v>41</v>
      </c>
      <c r="B22" s="1">
        <v>0</v>
      </c>
      <c r="C22" s="1">
        <v>0</v>
      </c>
      <c r="D22" s="1">
        <v>0</v>
      </c>
      <c r="E22" s="1">
        <v>0</v>
      </c>
      <c r="F22" s="1">
        <v>109</v>
      </c>
      <c r="G22" s="1">
        <v>0</v>
      </c>
      <c r="H22" s="1">
        <v>0</v>
      </c>
      <c r="I22" s="1">
        <v>0</v>
      </c>
    </row>
    <row r="23" spans="1:9">
      <c r="A23" s="1" t="s">
        <v>42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126</v>
      </c>
      <c r="H23" s="1">
        <v>0</v>
      </c>
      <c r="I23" s="1">
        <v>0</v>
      </c>
    </row>
    <row r="24" spans="1:9">
      <c r="A24" s="1" t="s">
        <v>43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220</v>
      </c>
      <c r="I24" s="1">
        <v>0</v>
      </c>
    </row>
    <row r="25" spans="1:9">
      <c r="A25" s="1" t="s">
        <v>44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120</v>
      </c>
      <c r="I25" s="1">
        <v>0</v>
      </c>
    </row>
    <row r="26" spans="1:9">
      <c r="A26" s="1" t="s">
        <v>45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80</v>
      </c>
      <c r="I26" s="1">
        <v>0</v>
      </c>
    </row>
    <row r="27" spans="1:9">
      <c r="A27" s="2" t="s">
        <v>46</v>
      </c>
      <c r="B27" s="1">
        <v>0</v>
      </c>
      <c r="C27" s="1">
        <v>0</v>
      </c>
      <c r="D27" s="1">
        <v>0</v>
      </c>
      <c r="E27" s="1">
        <v>0</v>
      </c>
      <c r="F27" s="1">
        <v>175</v>
      </c>
      <c r="G27" s="1">
        <v>0</v>
      </c>
      <c r="H27" s="1">
        <v>0</v>
      </c>
      <c r="I27" s="1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3557-FBAF-4AE5-9940-6BEF08B8EE3F}">
  <dimension ref="A1:M49"/>
  <sheetViews>
    <sheetView zoomScale="85" zoomScaleNormal="85" workbookViewId="0">
      <selection activeCell="K3" sqref="A1:K3"/>
    </sheetView>
  </sheetViews>
  <sheetFormatPr defaultRowHeight="14"/>
  <cols>
    <col min="1" max="1" width="5" bestFit="1" customWidth="1"/>
    <col min="2" max="2" width="22.75" bestFit="1" customWidth="1"/>
    <col min="3" max="3" width="12.25" bestFit="1" customWidth="1"/>
    <col min="4" max="4" width="22.75" bestFit="1" customWidth="1"/>
    <col min="6" max="6" width="22.75" bestFit="1" customWidth="1"/>
    <col min="8" max="8" width="22.75" bestFit="1" customWidth="1"/>
    <col min="10" max="10" width="23.4140625" bestFit="1" customWidth="1"/>
    <col min="12" max="12" width="23.4140625" bestFit="1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9"/>
      <c r="L1" s="4"/>
      <c r="M1" s="3"/>
    </row>
    <row r="2" spans="1:13">
      <c r="A2" s="1"/>
      <c r="B2" s="8" t="s">
        <v>50</v>
      </c>
      <c r="C2" s="8"/>
      <c r="D2" s="8" t="s">
        <v>51</v>
      </c>
      <c r="E2" s="8"/>
      <c r="F2" s="8" t="s">
        <v>52</v>
      </c>
      <c r="G2" s="8"/>
      <c r="H2" s="8" t="s">
        <v>54</v>
      </c>
      <c r="I2" s="8"/>
      <c r="J2" s="8" t="s">
        <v>53</v>
      </c>
      <c r="K2" s="8"/>
    </row>
    <row r="3" spans="1:13">
      <c r="A3" s="1" t="s">
        <v>49</v>
      </c>
      <c r="B3" s="1" t="s">
        <v>60</v>
      </c>
      <c r="C3" s="1" t="s">
        <v>61</v>
      </c>
      <c r="D3" s="1" t="s">
        <v>60</v>
      </c>
      <c r="E3" s="1" t="s">
        <v>61</v>
      </c>
      <c r="F3" s="1" t="s">
        <v>60</v>
      </c>
      <c r="G3" s="1" t="s">
        <v>61</v>
      </c>
      <c r="H3" s="1" t="s">
        <v>60</v>
      </c>
      <c r="I3" s="1" t="s">
        <v>61</v>
      </c>
      <c r="J3" s="1" t="s">
        <v>60</v>
      </c>
      <c r="K3" s="1" t="s">
        <v>61</v>
      </c>
    </row>
    <row r="4" spans="1:13">
      <c r="A4" s="1">
        <v>1</v>
      </c>
      <c r="B4" s="1" t="s">
        <v>13</v>
      </c>
      <c r="C4" s="1">
        <v>862</v>
      </c>
      <c r="D4" s="1" t="s">
        <v>13</v>
      </c>
      <c r="E4" s="1">
        <v>20</v>
      </c>
      <c r="F4" s="1" t="s">
        <v>13</v>
      </c>
      <c r="G4" s="1">
        <v>157</v>
      </c>
      <c r="H4" s="1" t="s">
        <v>55</v>
      </c>
      <c r="I4" s="1">
        <v>39</v>
      </c>
      <c r="J4" s="1" t="s">
        <v>13</v>
      </c>
      <c r="K4" s="1">
        <f>862+20+157+1</f>
        <v>1040</v>
      </c>
    </row>
    <row r="5" spans="1:13">
      <c r="A5" s="1">
        <v>2</v>
      </c>
      <c r="B5" s="1" t="s">
        <v>56</v>
      </c>
      <c r="C5" s="1">
        <v>646</v>
      </c>
      <c r="D5" s="1" t="s">
        <v>57</v>
      </c>
      <c r="E5" s="1">
        <v>13</v>
      </c>
      <c r="F5" s="1" t="s">
        <v>56</v>
      </c>
      <c r="G5" s="1">
        <v>120</v>
      </c>
      <c r="H5" s="1" t="s">
        <v>59</v>
      </c>
      <c r="I5" s="1">
        <v>2</v>
      </c>
      <c r="J5" s="1" t="s">
        <v>56</v>
      </c>
      <c r="K5" s="1">
        <f>646+5+120+1</f>
        <v>772</v>
      </c>
    </row>
    <row r="6" spans="1:13">
      <c r="A6" s="1">
        <v>3</v>
      </c>
      <c r="B6" s="1" t="s">
        <v>58</v>
      </c>
      <c r="C6" s="1">
        <v>448</v>
      </c>
      <c r="D6" s="1" t="s">
        <v>58</v>
      </c>
      <c r="E6" s="1">
        <v>7</v>
      </c>
      <c r="F6" s="1" t="s">
        <v>59</v>
      </c>
      <c r="G6" s="1">
        <v>99</v>
      </c>
      <c r="H6" s="1" t="s">
        <v>13</v>
      </c>
      <c r="I6" s="1">
        <v>1</v>
      </c>
      <c r="J6" s="1" t="s">
        <v>58</v>
      </c>
      <c r="K6" s="1">
        <f>448+7+38</f>
        <v>493</v>
      </c>
    </row>
    <row r="7" spans="1:13">
      <c r="A7" s="1">
        <v>4</v>
      </c>
      <c r="B7" s="1" t="s">
        <v>55</v>
      </c>
      <c r="C7" s="1">
        <v>399</v>
      </c>
      <c r="D7" s="1" t="s">
        <v>56</v>
      </c>
      <c r="E7" s="1">
        <v>5</v>
      </c>
      <c r="F7" s="1" t="s">
        <v>55</v>
      </c>
      <c r="G7" s="1">
        <v>52</v>
      </c>
      <c r="H7" s="1" t="s">
        <v>56</v>
      </c>
      <c r="I7" s="1">
        <v>1</v>
      </c>
      <c r="J7" s="1" t="s">
        <v>55</v>
      </c>
      <c r="K7" s="1">
        <f>399+2+52+39</f>
        <v>492</v>
      </c>
    </row>
    <row r="8" spans="1:13">
      <c r="A8" s="1">
        <v>5</v>
      </c>
      <c r="B8" s="1" t="s">
        <v>59</v>
      </c>
      <c r="C8" s="1">
        <v>336</v>
      </c>
      <c r="D8" s="1" t="s">
        <v>59</v>
      </c>
      <c r="E8" s="1">
        <v>3</v>
      </c>
      <c r="F8" s="1" t="s">
        <v>58</v>
      </c>
      <c r="G8" s="1">
        <v>38</v>
      </c>
      <c r="H8" s="1" t="s">
        <v>57</v>
      </c>
      <c r="I8" s="1">
        <v>0</v>
      </c>
      <c r="J8" s="1" t="s">
        <v>59</v>
      </c>
      <c r="K8" s="1">
        <f>336+3+99+2</f>
        <v>440</v>
      </c>
    </row>
    <row r="9" spans="1:13">
      <c r="A9" s="1">
        <v>6</v>
      </c>
      <c r="B9" s="1" t="s">
        <v>57</v>
      </c>
      <c r="C9" s="1">
        <v>204</v>
      </c>
      <c r="D9" s="1" t="s">
        <v>55</v>
      </c>
      <c r="E9" s="1">
        <v>2</v>
      </c>
      <c r="F9" s="1" t="s">
        <v>57</v>
      </c>
      <c r="G9" s="1">
        <v>28</v>
      </c>
      <c r="H9" s="1" t="s">
        <v>58</v>
      </c>
      <c r="I9" s="1">
        <v>0</v>
      </c>
      <c r="J9" s="1" t="s">
        <v>57</v>
      </c>
      <c r="K9" s="1">
        <f>204+13+28</f>
        <v>245</v>
      </c>
    </row>
    <row r="10" spans="1:13">
      <c r="A10" s="10" t="s">
        <v>63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5"/>
    </row>
    <row r="11" spans="1:13">
      <c r="A11" s="1"/>
      <c r="B11" s="8" t="s">
        <v>50</v>
      </c>
      <c r="C11" s="8"/>
      <c r="D11" s="8" t="s">
        <v>51</v>
      </c>
      <c r="E11" s="8"/>
      <c r="F11" s="8" t="s">
        <v>52</v>
      </c>
      <c r="G11" s="8"/>
      <c r="H11" s="8" t="s">
        <v>54</v>
      </c>
      <c r="I11" s="8"/>
      <c r="J11" s="8" t="s">
        <v>53</v>
      </c>
      <c r="K11" s="8"/>
      <c r="L11" s="3"/>
      <c r="M11" s="3"/>
    </row>
    <row r="12" spans="1:13">
      <c r="A12" s="1" t="s">
        <v>49</v>
      </c>
      <c r="B12" s="1" t="s">
        <v>60</v>
      </c>
      <c r="C12" s="1" t="s">
        <v>61</v>
      </c>
      <c r="D12" s="1" t="s">
        <v>60</v>
      </c>
      <c r="E12" s="1" t="s">
        <v>61</v>
      </c>
      <c r="F12" s="1" t="s">
        <v>60</v>
      </c>
      <c r="G12" s="1" t="s">
        <v>61</v>
      </c>
      <c r="H12" s="1" t="s">
        <v>60</v>
      </c>
      <c r="I12" s="1" t="s">
        <v>61</v>
      </c>
      <c r="J12" s="1" t="s">
        <v>60</v>
      </c>
      <c r="K12" s="1" t="s">
        <v>61</v>
      </c>
      <c r="L12" s="3"/>
      <c r="M12" s="3"/>
    </row>
    <row r="13" spans="1:13">
      <c r="A13" s="1">
        <v>1</v>
      </c>
      <c r="B13" s="1" t="s">
        <v>64</v>
      </c>
      <c r="C13" s="1">
        <f>391+7+1+284</f>
        <v>683</v>
      </c>
      <c r="D13" s="1" t="s">
        <v>64</v>
      </c>
      <c r="E13" s="1">
        <v>13</v>
      </c>
      <c r="F13" s="1" t="s">
        <v>64</v>
      </c>
      <c r="G13" s="1">
        <v>270</v>
      </c>
      <c r="H13" s="1" t="s">
        <v>73</v>
      </c>
      <c r="I13" s="1">
        <v>148</v>
      </c>
      <c r="J13" s="1" t="s">
        <v>64</v>
      </c>
      <c r="K13" s="1">
        <f>683+13+270+29</f>
        <v>995</v>
      </c>
    </row>
    <row r="14" spans="1:13">
      <c r="A14" s="1">
        <v>2</v>
      </c>
      <c r="B14" s="1" t="s">
        <v>65</v>
      </c>
      <c r="C14" s="1">
        <f>256+1+5+254</f>
        <v>516</v>
      </c>
      <c r="D14" s="1" t="s">
        <v>75</v>
      </c>
      <c r="E14" s="1">
        <v>10</v>
      </c>
      <c r="F14" s="1" t="s">
        <v>69</v>
      </c>
      <c r="G14" s="1">
        <v>146</v>
      </c>
      <c r="H14" s="1" t="s">
        <v>70</v>
      </c>
      <c r="I14" s="1">
        <v>138</v>
      </c>
      <c r="J14" s="1" t="s">
        <v>65</v>
      </c>
      <c r="K14" s="1">
        <f>516+5+89+5</f>
        <v>615</v>
      </c>
    </row>
    <row r="15" spans="1:13">
      <c r="A15" s="1">
        <v>3</v>
      </c>
      <c r="B15" s="1" t="s">
        <v>83</v>
      </c>
      <c r="C15" s="1">
        <f>116+136+155+74</f>
        <v>481</v>
      </c>
      <c r="D15" s="1" t="s">
        <v>66</v>
      </c>
      <c r="E15" s="1">
        <v>9</v>
      </c>
      <c r="F15" s="1" t="s">
        <v>71</v>
      </c>
      <c r="G15" s="1">
        <v>113</v>
      </c>
      <c r="H15" s="1" t="s">
        <v>68</v>
      </c>
      <c r="I15" s="1">
        <v>46</v>
      </c>
      <c r="J15" s="1" t="s">
        <v>83</v>
      </c>
      <c r="K15" s="1">
        <f>481+8+72+2</f>
        <v>563</v>
      </c>
    </row>
    <row r="16" spans="1:13">
      <c r="A16" s="1">
        <v>4</v>
      </c>
      <c r="B16" s="1" t="s">
        <v>67</v>
      </c>
      <c r="C16" s="1">
        <f>194+2+2+220</f>
        <v>418</v>
      </c>
      <c r="D16" s="1" t="s">
        <v>69</v>
      </c>
      <c r="E16" s="1">
        <v>8</v>
      </c>
      <c r="F16" s="1" t="s">
        <v>82</v>
      </c>
      <c r="G16" s="1">
        <v>102</v>
      </c>
      <c r="H16" s="1" t="s">
        <v>82</v>
      </c>
      <c r="I16" s="1">
        <v>36</v>
      </c>
      <c r="J16" s="1" t="s">
        <v>73</v>
      </c>
      <c r="K16" s="1">
        <f>284+8+73+148</f>
        <v>513</v>
      </c>
    </row>
    <row r="17" spans="1:11">
      <c r="A17" s="1">
        <v>5</v>
      </c>
      <c r="B17" s="1" t="s">
        <v>66</v>
      </c>
      <c r="C17" s="1">
        <f>226+9+2+125</f>
        <v>362</v>
      </c>
      <c r="D17" s="1" t="s">
        <v>73</v>
      </c>
      <c r="E17" s="1">
        <v>8</v>
      </c>
      <c r="F17" s="1" t="s">
        <v>66</v>
      </c>
      <c r="G17" s="1">
        <v>100</v>
      </c>
      <c r="H17" s="1" t="s">
        <v>72</v>
      </c>
      <c r="I17" s="1">
        <v>29</v>
      </c>
      <c r="J17" s="1" t="s">
        <v>66</v>
      </c>
      <c r="K17" s="1">
        <f>362+9+100+1</f>
        <v>472</v>
      </c>
    </row>
    <row r="18" spans="1:11">
      <c r="A18" s="1">
        <v>6</v>
      </c>
      <c r="B18" s="1" t="s">
        <v>73</v>
      </c>
      <c r="C18" s="1">
        <f>154+3+2+125</f>
        <v>284</v>
      </c>
      <c r="D18" s="1" t="s">
        <v>83</v>
      </c>
      <c r="E18" s="1">
        <v>8</v>
      </c>
      <c r="F18" s="1" t="s">
        <v>65</v>
      </c>
      <c r="G18" s="1">
        <v>89</v>
      </c>
      <c r="H18" s="1" t="s">
        <v>64</v>
      </c>
      <c r="I18" s="1">
        <v>29</v>
      </c>
      <c r="J18" s="1" t="s">
        <v>67</v>
      </c>
      <c r="K18" s="1">
        <f>418+3+37+1</f>
        <v>459</v>
      </c>
    </row>
    <row r="19" spans="1:11">
      <c r="A19" s="1">
        <v>7</v>
      </c>
      <c r="B19" s="1" t="s">
        <v>75</v>
      </c>
      <c r="C19" s="1">
        <f>60+4+9+199</f>
        <v>272</v>
      </c>
      <c r="D19" s="1" t="s">
        <v>82</v>
      </c>
      <c r="E19" s="1">
        <v>7</v>
      </c>
      <c r="F19" s="1" t="s">
        <v>73</v>
      </c>
      <c r="G19" s="1">
        <v>73</v>
      </c>
      <c r="H19" s="1" t="s">
        <v>71</v>
      </c>
      <c r="I19" s="1">
        <v>20</v>
      </c>
      <c r="J19" s="1" t="s">
        <v>69</v>
      </c>
      <c r="K19" s="1">
        <f>267+8+146+2</f>
        <v>423</v>
      </c>
    </row>
    <row r="20" spans="1:11">
      <c r="A20" s="1">
        <v>8</v>
      </c>
      <c r="B20" s="1" t="s">
        <v>71</v>
      </c>
      <c r="C20" s="1">
        <f>165+3+1+99</f>
        <v>268</v>
      </c>
      <c r="D20" s="1" t="s">
        <v>65</v>
      </c>
      <c r="E20" s="1">
        <v>5</v>
      </c>
      <c r="F20" s="1" t="s">
        <v>83</v>
      </c>
      <c r="G20" s="1">
        <v>72</v>
      </c>
      <c r="H20" s="1" t="s">
        <v>75</v>
      </c>
      <c r="I20" s="1">
        <v>9</v>
      </c>
      <c r="J20" s="1" t="s">
        <v>71</v>
      </c>
      <c r="K20" s="1">
        <f>268+2+113+20</f>
        <v>403</v>
      </c>
    </row>
    <row r="21" spans="1:11">
      <c r="A21" s="1">
        <v>9</v>
      </c>
      <c r="B21" s="1" t="s">
        <v>69</v>
      </c>
      <c r="C21" s="1">
        <f>173+0+3+91</f>
        <v>267</v>
      </c>
      <c r="D21" s="1" t="s">
        <v>70</v>
      </c>
      <c r="E21" s="1">
        <v>3</v>
      </c>
      <c r="F21" s="1" t="s">
        <v>68</v>
      </c>
      <c r="G21" s="1">
        <v>57</v>
      </c>
      <c r="H21" s="1" t="s">
        <v>65</v>
      </c>
      <c r="I21" s="1">
        <v>5</v>
      </c>
      <c r="J21" s="1" t="s">
        <v>70</v>
      </c>
      <c r="K21" s="1">
        <f>180+3+44+138</f>
        <v>365</v>
      </c>
    </row>
    <row r="22" spans="1:11">
      <c r="A22" s="1">
        <v>10</v>
      </c>
      <c r="B22" s="1" t="s">
        <v>68</v>
      </c>
      <c r="C22" s="1">
        <f>108+14+14+105</f>
        <v>241</v>
      </c>
      <c r="D22" s="1" t="s">
        <v>67</v>
      </c>
      <c r="E22" s="1">
        <v>3</v>
      </c>
      <c r="F22" s="1" t="s">
        <v>72</v>
      </c>
      <c r="G22" s="1">
        <v>48</v>
      </c>
      <c r="H22" s="1" t="s">
        <v>69</v>
      </c>
      <c r="I22" s="1">
        <v>2</v>
      </c>
      <c r="J22" s="1" t="s">
        <v>82</v>
      </c>
      <c r="K22" s="1">
        <f>213+7+102+36</f>
        <v>358</v>
      </c>
    </row>
    <row r="23" spans="1:11">
      <c r="A23" s="1">
        <v>11</v>
      </c>
      <c r="B23" s="1" t="s">
        <v>82</v>
      </c>
      <c r="C23" s="1">
        <f>72+14+44+83</f>
        <v>213</v>
      </c>
      <c r="D23" s="1" t="s">
        <v>68</v>
      </c>
      <c r="E23" s="1">
        <v>3</v>
      </c>
      <c r="F23" s="1" t="s">
        <v>70</v>
      </c>
      <c r="G23" s="1">
        <v>44</v>
      </c>
      <c r="H23" s="1" t="s">
        <v>83</v>
      </c>
      <c r="I23" s="1">
        <v>2</v>
      </c>
      <c r="J23" s="1" t="s">
        <v>68</v>
      </c>
      <c r="K23" s="1">
        <f>241+3+57+46</f>
        <v>347</v>
      </c>
    </row>
    <row r="24" spans="1:11">
      <c r="A24" s="1">
        <v>12</v>
      </c>
      <c r="B24" s="1" t="s">
        <v>72</v>
      </c>
      <c r="C24" s="1">
        <f>134+5+2+71</f>
        <v>212</v>
      </c>
      <c r="D24" s="1" t="s">
        <v>72</v>
      </c>
      <c r="E24" s="1">
        <v>3</v>
      </c>
      <c r="F24" s="1" t="s">
        <v>67</v>
      </c>
      <c r="G24" s="1">
        <v>37</v>
      </c>
      <c r="H24" s="1" t="s">
        <v>74</v>
      </c>
      <c r="I24" s="1">
        <v>1</v>
      </c>
      <c r="J24" s="1" t="s">
        <v>75</v>
      </c>
      <c r="K24" s="1">
        <f>272+10+18+9</f>
        <v>309</v>
      </c>
    </row>
    <row r="25" spans="1:11">
      <c r="A25" s="1">
        <v>13</v>
      </c>
      <c r="B25" s="1" t="s">
        <v>70</v>
      </c>
      <c r="C25" s="1">
        <f>87+3+1+89</f>
        <v>180</v>
      </c>
      <c r="D25" s="1" t="s">
        <v>71</v>
      </c>
      <c r="E25" s="1">
        <v>2</v>
      </c>
      <c r="F25" s="1" t="s">
        <v>84</v>
      </c>
      <c r="G25" s="1">
        <v>36</v>
      </c>
      <c r="H25" s="1" t="s">
        <v>66</v>
      </c>
      <c r="I25" s="1">
        <v>1</v>
      </c>
      <c r="J25" s="1" t="s">
        <v>72</v>
      </c>
      <c r="K25" s="1">
        <f>212+3+48+29</f>
        <v>292</v>
      </c>
    </row>
    <row r="26" spans="1:11">
      <c r="A26" s="1">
        <v>14</v>
      </c>
      <c r="B26" s="1" t="s">
        <v>84</v>
      </c>
      <c r="C26" s="1">
        <f>24+14+27+24</f>
        <v>89</v>
      </c>
      <c r="D26" s="1" t="s">
        <v>74</v>
      </c>
      <c r="E26" s="1">
        <v>1</v>
      </c>
      <c r="F26" s="1" t="s">
        <v>75</v>
      </c>
      <c r="G26" s="1">
        <v>18</v>
      </c>
      <c r="H26" s="1" t="s">
        <v>67</v>
      </c>
      <c r="I26" s="1">
        <v>1</v>
      </c>
      <c r="J26" s="1" t="s">
        <v>84</v>
      </c>
      <c r="K26" s="1">
        <f>89+1+36+1</f>
        <v>127</v>
      </c>
    </row>
    <row r="27" spans="1:11">
      <c r="A27" s="1">
        <v>15</v>
      </c>
      <c r="B27" s="1" t="s">
        <v>74</v>
      </c>
      <c r="C27" s="1">
        <f>21+1+0+34</f>
        <v>56</v>
      </c>
      <c r="D27" s="1" t="s">
        <v>84</v>
      </c>
      <c r="E27" s="1">
        <v>1</v>
      </c>
      <c r="F27" s="1" t="s">
        <v>74</v>
      </c>
      <c r="G27" s="1">
        <v>10</v>
      </c>
      <c r="H27" s="1" t="s">
        <v>77</v>
      </c>
      <c r="I27" s="1">
        <v>1</v>
      </c>
      <c r="J27" s="1" t="s">
        <v>74</v>
      </c>
      <c r="K27" s="1">
        <f>56+1+10+1</f>
        <v>68</v>
      </c>
    </row>
    <row r="28" spans="1:11">
      <c r="A28" s="1">
        <v>16</v>
      </c>
      <c r="B28" s="1" t="s">
        <v>77</v>
      </c>
      <c r="C28" s="1">
        <f>18+0+5+14</f>
        <v>37</v>
      </c>
      <c r="D28" s="1" t="s">
        <v>76</v>
      </c>
      <c r="E28" s="1">
        <v>0</v>
      </c>
      <c r="F28" s="1" t="s">
        <v>77</v>
      </c>
      <c r="G28" s="1">
        <v>6</v>
      </c>
      <c r="H28" s="1" t="s">
        <v>84</v>
      </c>
      <c r="I28" s="1">
        <v>1</v>
      </c>
      <c r="J28" s="1" t="s">
        <v>77</v>
      </c>
      <c r="K28" s="1">
        <f>37+6+1</f>
        <v>44</v>
      </c>
    </row>
    <row r="29" spans="1:11">
      <c r="A29" s="1">
        <v>17</v>
      </c>
      <c r="B29" s="1" t="s">
        <v>80</v>
      </c>
      <c r="C29" s="1">
        <f>1+0+12+19</f>
        <v>32</v>
      </c>
      <c r="D29" s="1" t="s">
        <v>77</v>
      </c>
      <c r="E29" s="1">
        <v>0</v>
      </c>
      <c r="F29" s="1" t="s">
        <v>76</v>
      </c>
      <c r="G29" s="1">
        <v>4</v>
      </c>
      <c r="H29" s="1" t="s">
        <v>76</v>
      </c>
      <c r="I29" s="1">
        <v>0</v>
      </c>
      <c r="J29" s="1" t="s">
        <v>80</v>
      </c>
      <c r="K29" s="1">
        <f>32</f>
        <v>32</v>
      </c>
    </row>
    <row r="30" spans="1:11">
      <c r="A30" s="1">
        <v>18</v>
      </c>
      <c r="B30" s="1" t="s">
        <v>76</v>
      </c>
      <c r="C30" s="1">
        <v>10</v>
      </c>
      <c r="D30" s="1" t="s">
        <v>78</v>
      </c>
      <c r="E30" s="1">
        <v>0</v>
      </c>
      <c r="F30" s="1" t="s">
        <v>78</v>
      </c>
      <c r="G30" s="1">
        <v>0</v>
      </c>
      <c r="H30" s="1" t="s">
        <v>78</v>
      </c>
      <c r="I30" s="1">
        <v>0</v>
      </c>
      <c r="J30" s="1" t="s">
        <v>76</v>
      </c>
      <c r="K30" s="1">
        <f>10+4</f>
        <v>14</v>
      </c>
    </row>
    <row r="31" spans="1:11">
      <c r="A31" s="1">
        <v>19</v>
      </c>
      <c r="B31" s="1" t="s">
        <v>78</v>
      </c>
      <c r="C31" s="1">
        <v>3</v>
      </c>
      <c r="D31" s="1" t="s">
        <v>79</v>
      </c>
      <c r="E31" s="1">
        <v>0</v>
      </c>
      <c r="F31" s="1" t="s">
        <v>79</v>
      </c>
      <c r="G31" s="1">
        <v>0</v>
      </c>
      <c r="H31" s="1" t="s">
        <v>79</v>
      </c>
      <c r="I31" s="1">
        <v>0</v>
      </c>
      <c r="J31" s="1" t="s">
        <v>78</v>
      </c>
      <c r="K31" s="1">
        <f>3</f>
        <v>3</v>
      </c>
    </row>
    <row r="32" spans="1:11">
      <c r="A32" s="1">
        <v>20</v>
      </c>
      <c r="B32" s="1" t="s">
        <v>81</v>
      </c>
      <c r="C32" s="1">
        <v>2</v>
      </c>
      <c r="D32" s="1" t="s">
        <v>80</v>
      </c>
      <c r="E32" s="1">
        <v>0</v>
      </c>
      <c r="F32" s="1" t="s">
        <v>80</v>
      </c>
      <c r="G32" s="1">
        <v>0</v>
      </c>
      <c r="H32" s="1" t="s">
        <v>80</v>
      </c>
      <c r="I32" s="1">
        <v>0</v>
      </c>
      <c r="J32" s="1" t="s">
        <v>81</v>
      </c>
      <c r="K32" s="1">
        <f>2</f>
        <v>2</v>
      </c>
    </row>
    <row r="33" spans="1:11">
      <c r="A33" s="7">
        <v>21</v>
      </c>
      <c r="B33" s="7" t="s">
        <v>79</v>
      </c>
      <c r="C33" s="7">
        <v>1</v>
      </c>
      <c r="D33" s="7" t="s">
        <v>81</v>
      </c>
      <c r="E33" s="7">
        <v>0</v>
      </c>
      <c r="F33" s="1" t="s">
        <v>81</v>
      </c>
      <c r="G33" s="1">
        <v>0</v>
      </c>
      <c r="H33" s="1" t="s">
        <v>81</v>
      </c>
      <c r="I33" s="1">
        <v>0</v>
      </c>
      <c r="J33" s="1" t="s">
        <v>79</v>
      </c>
      <c r="K33" s="1">
        <f>1</f>
        <v>1</v>
      </c>
    </row>
    <row r="34" spans="1:11">
      <c r="A34" s="10" t="s">
        <v>85</v>
      </c>
      <c r="B34" s="10"/>
      <c r="C34" s="10"/>
      <c r="D34" s="10"/>
      <c r="E34" s="10"/>
      <c r="F34" s="10"/>
      <c r="G34" s="10"/>
      <c r="H34" s="10"/>
      <c r="I34" s="10"/>
    </row>
    <row r="35" spans="1:11">
      <c r="A35" s="1"/>
      <c r="B35" s="8" t="s">
        <v>50</v>
      </c>
      <c r="C35" s="8"/>
      <c r="D35" s="8" t="s">
        <v>51</v>
      </c>
      <c r="E35" s="8"/>
      <c r="F35" s="8" t="s">
        <v>52</v>
      </c>
      <c r="G35" s="8"/>
      <c r="H35" s="8" t="s">
        <v>53</v>
      </c>
      <c r="I35" s="8"/>
    </row>
    <row r="36" spans="1:11">
      <c r="A36" s="1" t="s">
        <v>49</v>
      </c>
      <c r="B36" s="1" t="s">
        <v>0</v>
      </c>
      <c r="C36" s="1" t="s">
        <v>61</v>
      </c>
      <c r="D36" s="1" t="s">
        <v>86</v>
      </c>
      <c r="E36" s="1" t="s">
        <v>61</v>
      </c>
      <c r="F36" s="1" t="s">
        <v>86</v>
      </c>
      <c r="G36" s="1" t="s">
        <v>61</v>
      </c>
      <c r="H36" s="1" t="s">
        <v>86</v>
      </c>
      <c r="I36" s="1" t="s">
        <v>61</v>
      </c>
    </row>
    <row r="37" spans="1:11">
      <c r="A37" s="1">
        <v>1</v>
      </c>
      <c r="B37" s="2" t="s">
        <v>1</v>
      </c>
      <c r="C37" s="1">
        <f>306+206+185+210</f>
        <v>907</v>
      </c>
      <c r="D37" s="2" t="s">
        <v>1</v>
      </c>
      <c r="E37" s="1">
        <v>5</v>
      </c>
      <c r="F37" s="2" t="s">
        <v>1</v>
      </c>
      <c r="G37" s="1">
        <v>108</v>
      </c>
      <c r="H37" s="2" t="s">
        <v>1</v>
      </c>
      <c r="I37" s="1">
        <f>907+5+108</f>
        <v>1020</v>
      </c>
    </row>
    <row r="38" spans="1:11">
      <c r="A38" s="1">
        <v>2</v>
      </c>
      <c r="B38" s="2" t="s">
        <v>2</v>
      </c>
      <c r="C38" s="1">
        <f>105+57+52+90</f>
        <v>304</v>
      </c>
      <c r="D38" s="2" t="s">
        <v>47</v>
      </c>
      <c r="E38" s="1">
        <v>5</v>
      </c>
      <c r="F38" s="2" t="s">
        <v>3</v>
      </c>
      <c r="G38" s="1">
        <v>74</v>
      </c>
      <c r="H38" s="2" t="s">
        <v>3</v>
      </c>
      <c r="I38" s="1">
        <f>292+3+74</f>
        <v>369</v>
      </c>
    </row>
    <row r="39" spans="1:11">
      <c r="A39" s="1">
        <v>3</v>
      </c>
      <c r="B39" s="2" t="s">
        <v>3</v>
      </c>
      <c r="C39" s="1">
        <f>103+62+54+73</f>
        <v>292</v>
      </c>
      <c r="D39" s="2" t="s">
        <v>3</v>
      </c>
      <c r="E39" s="1">
        <v>3</v>
      </c>
      <c r="F39" s="2" t="s">
        <v>47</v>
      </c>
      <c r="G39" s="1">
        <v>48</v>
      </c>
      <c r="H39" s="2" t="s">
        <v>2</v>
      </c>
      <c r="I39" s="1">
        <f>304+46</f>
        <v>350</v>
      </c>
    </row>
    <row r="40" spans="1:11">
      <c r="A40" s="1">
        <v>4</v>
      </c>
      <c r="B40" s="2" t="s">
        <v>89</v>
      </c>
      <c r="C40" s="1">
        <f>113+63+54+49</f>
        <v>279</v>
      </c>
      <c r="D40" s="2" t="s">
        <v>88</v>
      </c>
      <c r="E40" s="1">
        <v>2</v>
      </c>
      <c r="F40" s="2" t="s">
        <v>2</v>
      </c>
      <c r="G40" s="1">
        <v>46</v>
      </c>
      <c r="H40" s="2" t="s">
        <v>89</v>
      </c>
      <c r="I40" s="1">
        <f>279+1+22</f>
        <v>302</v>
      </c>
    </row>
    <row r="41" spans="1:11">
      <c r="A41" s="1">
        <v>5</v>
      </c>
      <c r="B41" s="2" t="s">
        <v>95</v>
      </c>
      <c r="C41" s="1">
        <f>62+61+48+48</f>
        <v>219</v>
      </c>
      <c r="D41" s="2" t="s">
        <v>94</v>
      </c>
      <c r="E41" s="1">
        <v>2</v>
      </c>
      <c r="F41" s="2" t="s">
        <v>89</v>
      </c>
      <c r="G41" s="1">
        <v>22</v>
      </c>
      <c r="H41" s="2" t="s">
        <v>95</v>
      </c>
      <c r="I41" s="1">
        <f>219+1+14</f>
        <v>234</v>
      </c>
    </row>
    <row r="42" spans="1:11">
      <c r="A42" s="1">
        <v>6</v>
      </c>
      <c r="B42" s="2" t="s">
        <v>47</v>
      </c>
      <c r="C42" s="1">
        <f>39+32+33+71</f>
        <v>175</v>
      </c>
      <c r="D42" s="2" t="s">
        <v>95</v>
      </c>
      <c r="E42" s="1">
        <v>1</v>
      </c>
      <c r="F42" s="2" t="s">
        <v>94</v>
      </c>
      <c r="G42" s="1">
        <v>22</v>
      </c>
      <c r="H42" s="2" t="s">
        <v>47</v>
      </c>
      <c r="I42" s="1">
        <f>175+5+48</f>
        <v>228</v>
      </c>
    </row>
    <row r="43" spans="1:11">
      <c r="A43" s="1">
        <v>7</v>
      </c>
      <c r="B43" s="2" t="s">
        <v>88</v>
      </c>
      <c r="C43" s="1">
        <f>62+36+27+40</f>
        <v>165</v>
      </c>
      <c r="D43" s="2" t="s">
        <v>89</v>
      </c>
      <c r="E43" s="1">
        <v>1</v>
      </c>
      <c r="F43" s="2" t="s">
        <v>88</v>
      </c>
      <c r="G43" s="1">
        <v>19</v>
      </c>
      <c r="H43" s="2" t="s">
        <v>88</v>
      </c>
      <c r="I43" s="1">
        <f>165+2+19</f>
        <v>186</v>
      </c>
    </row>
    <row r="44" spans="1:11">
      <c r="A44" s="1">
        <v>8</v>
      </c>
      <c r="B44" s="2" t="s">
        <v>93</v>
      </c>
      <c r="C44" s="1">
        <f>46+17+28+33</f>
        <v>124</v>
      </c>
      <c r="D44" s="2" t="s">
        <v>2</v>
      </c>
      <c r="E44" s="1">
        <v>0</v>
      </c>
      <c r="F44" s="2" t="s">
        <v>95</v>
      </c>
      <c r="G44" s="1">
        <v>14</v>
      </c>
      <c r="H44" s="2" t="s">
        <v>93</v>
      </c>
      <c r="I44" s="1">
        <f>124+5</f>
        <v>129</v>
      </c>
    </row>
    <row r="45" spans="1:11">
      <c r="A45" s="1">
        <v>9</v>
      </c>
      <c r="B45" s="2" t="s">
        <v>92</v>
      </c>
      <c r="C45" s="1">
        <f>22+24+31+26</f>
        <v>103</v>
      </c>
      <c r="D45" s="2" t="s">
        <v>87</v>
      </c>
      <c r="E45" s="1">
        <v>0</v>
      </c>
      <c r="F45" s="2" t="s">
        <v>90</v>
      </c>
      <c r="G45" s="1">
        <v>14</v>
      </c>
      <c r="H45" s="2" t="s">
        <v>94</v>
      </c>
      <c r="I45" s="1">
        <f>94+2+22</f>
        <v>118</v>
      </c>
    </row>
    <row r="46" spans="1:11">
      <c r="A46" s="1">
        <v>10</v>
      </c>
      <c r="B46" s="2" t="s">
        <v>94</v>
      </c>
      <c r="C46" s="1">
        <f>41+15+18+20</f>
        <v>94</v>
      </c>
      <c r="D46" s="2" t="s">
        <v>90</v>
      </c>
      <c r="E46" s="1">
        <v>0</v>
      </c>
      <c r="F46" s="2" t="s">
        <v>91</v>
      </c>
      <c r="G46" s="1">
        <v>6</v>
      </c>
      <c r="H46" s="2" t="s">
        <v>90</v>
      </c>
      <c r="I46" s="1">
        <f>86+14</f>
        <v>100</v>
      </c>
    </row>
    <row r="47" spans="1:11">
      <c r="A47" s="1">
        <v>11</v>
      </c>
      <c r="B47" s="2" t="s">
        <v>90</v>
      </c>
      <c r="C47" s="1">
        <f>43+10+10+23</f>
        <v>86</v>
      </c>
      <c r="D47" s="2" t="s">
        <v>91</v>
      </c>
      <c r="E47" s="1">
        <v>0</v>
      </c>
      <c r="F47" s="2" t="s">
        <v>93</v>
      </c>
      <c r="G47" s="1">
        <v>5</v>
      </c>
      <c r="H47" s="2" t="s">
        <v>92</v>
      </c>
      <c r="I47" s="1">
        <f>103</f>
        <v>103</v>
      </c>
    </row>
    <row r="48" spans="1:11">
      <c r="A48" s="1">
        <v>12</v>
      </c>
      <c r="B48" s="2" t="s">
        <v>91</v>
      </c>
      <c r="C48" s="1">
        <f>33+9+7+15</f>
        <v>64</v>
      </c>
      <c r="D48" s="2" t="s">
        <v>92</v>
      </c>
      <c r="E48" s="1">
        <v>0</v>
      </c>
      <c r="F48" s="2" t="s">
        <v>92</v>
      </c>
      <c r="G48" s="1">
        <v>0</v>
      </c>
      <c r="H48" s="2" t="s">
        <v>91</v>
      </c>
      <c r="I48" s="1">
        <f>64+6</f>
        <v>70</v>
      </c>
    </row>
    <row r="49" spans="1:9">
      <c r="A49" s="1">
        <v>13</v>
      </c>
      <c r="B49" s="2" t="s">
        <v>87</v>
      </c>
      <c r="C49" s="1">
        <f>4+2+2+5</f>
        <v>13</v>
      </c>
      <c r="D49" s="2" t="s">
        <v>93</v>
      </c>
      <c r="E49" s="1">
        <v>0</v>
      </c>
      <c r="F49" s="2" t="s">
        <v>87</v>
      </c>
      <c r="G49" s="1">
        <v>0</v>
      </c>
      <c r="H49" s="2" t="s">
        <v>87</v>
      </c>
      <c r="I49" s="1">
        <f>13</f>
        <v>13</v>
      </c>
    </row>
  </sheetData>
  <mergeCells count="17">
    <mergeCell ref="B35:C35"/>
    <mergeCell ref="D35:E35"/>
    <mergeCell ref="F35:G35"/>
    <mergeCell ref="H35:I35"/>
    <mergeCell ref="A34:I34"/>
    <mergeCell ref="A1:K1"/>
    <mergeCell ref="B11:C11"/>
    <mergeCell ref="D11:E11"/>
    <mergeCell ref="F11:G11"/>
    <mergeCell ref="H11:I11"/>
    <mergeCell ref="B2:C2"/>
    <mergeCell ref="D2:E2"/>
    <mergeCell ref="H2:I2"/>
    <mergeCell ref="J2:K2"/>
    <mergeCell ref="J11:K11"/>
    <mergeCell ref="F2:G2"/>
    <mergeCell ref="A10:K1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BCE9-DA37-44BD-AE60-1F687F5C3122}">
  <dimension ref="A1:K11"/>
  <sheetViews>
    <sheetView tabSelected="1" workbookViewId="0">
      <selection activeCell="E13" sqref="E13"/>
    </sheetView>
  </sheetViews>
  <sheetFormatPr defaultRowHeight="14"/>
  <sheetData>
    <row r="1" spans="1:11">
      <c r="A1" s="8" t="s">
        <v>96</v>
      </c>
      <c r="B1" s="8"/>
      <c r="C1" s="8"/>
      <c r="D1" s="8"/>
      <c r="E1" s="8"/>
      <c r="F1" s="8"/>
      <c r="G1" s="8"/>
      <c r="H1" s="8"/>
      <c r="I1" s="8"/>
      <c r="J1" s="8"/>
      <c r="K1" s="9"/>
    </row>
    <row r="2" spans="1:11">
      <c r="A2" s="1"/>
      <c r="B2" s="8" t="s">
        <v>50</v>
      </c>
      <c r="C2" s="8"/>
      <c r="D2" s="8" t="s">
        <v>51</v>
      </c>
      <c r="E2" s="8"/>
      <c r="F2" s="8" t="s">
        <v>52</v>
      </c>
      <c r="G2" s="8"/>
      <c r="H2" s="8" t="s">
        <v>54</v>
      </c>
      <c r="I2" s="8"/>
      <c r="J2" s="8" t="s">
        <v>53</v>
      </c>
      <c r="K2" s="8"/>
    </row>
    <row r="3" spans="1:11">
      <c r="A3" s="1" t="s">
        <v>49</v>
      </c>
      <c r="B3" s="1" t="s">
        <v>60</v>
      </c>
      <c r="C3" s="1" t="s">
        <v>61</v>
      </c>
      <c r="D3" s="1" t="s">
        <v>60</v>
      </c>
      <c r="E3" s="1" t="s">
        <v>61</v>
      </c>
      <c r="F3" s="1" t="s">
        <v>60</v>
      </c>
      <c r="G3" s="1" t="s">
        <v>61</v>
      </c>
      <c r="H3" s="1" t="s">
        <v>60</v>
      </c>
      <c r="I3" s="1" t="s">
        <v>61</v>
      </c>
      <c r="J3" s="1" t="s">
        <v>60</v>
      </c>
      <c r="K3" s="1" t="s">
        <v>61</v>
      </c>
    </row>
    <row r="4" spans="1:11">
      <c r="B4" t="s">
        <v>97</v>
      </c>
      <c r="C4" t="s">
        <v>105</v>
      </c>
      <c r="H4" t="s">
        <v>97</v>
      </c>
    </row>
    <row r="5" spans="1:11">
      <c r="B5" t="s">
        <v>98</v>
      </c>
      <c r="C5" t="s">
        <v>106</v>
      </c>
      <c r="H5" t="s">
        <v>98</v>
      </c>
    </row>
    <row r="6" spans="1:11">
      <c r="B6" t="s">
        <v>99</v>
      </c>
      <c r="C6" t="s">
        <v>107</v>
      </c>
      <c r="H6" t="s">
        <v>99</v>
      </c>
    </row>
    <row r="7" spans="1:11">
      <c r="B7" t="s">
        <v>100</v>
      </c>
      <c r="C7" t="s">
        <v>108</v>
      </c>
      <c r="H7" t="s">
        <v>100</v>
      </c>
    </row>
    <row r="8" spans="1:11">
      <c r="B8" t="s">
        <v>101</v>
      </c>
      <c r="H8" t="s">
        <v>101</v>
      </c>
    </row>
    <row r="9" spans="1:11">
      <c r="B9" t="s">
        <v>102</v>
      </c>
      <c r="H9" t="s">
        <v>102</v>
      </c>
    </row>
    <row r="10" spans="1:11">
      <c r="B10" t="s">
        <v>103</v>
      </c>
      <c r="H10" t="s">
        <v>103</v>
      </c>
    </row>
    <row r="11" spans="1:11">
      <c r="B11" t="s">
        <v>104</v>
      </c>
      <c r="C11" t="s">
        <v>109</v>
      </c>
      <c r="H11" t="s">
        <v>104</v>
      </c>
    </row>
  </sheetData>
  <mergeCells count="6">
    <mergeCell ref="A1:K1"/>
    <mergeCell ref="B2:C2"/>
    <mergeCell ref="D2:E2"/>
    <mergeCell ref="F2:G2"/>
    <mergeCell ref="H2:I2"/>
    <mergeCell ref="J2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Hannah叶</dc:creator>
  <cp:lastModifiedBy>Hannah叶</cp:lastModifiedBy>
  <dcterms:created xsi:type="dcterms:W3CDTF">2015-06-05T18:17:20Z</dcterms:created>
  <dcterms:modified xsi:type="dcterms:W3CDTF">2022-11-13T07:49:04Z</dcterms:modified>
</cp:coreProperties>
</file>