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155" windowHeight="8505"/>
  </bookViews>
  <sheets>
    <sheet name="Ex_01_a" sheetId="6" r:id="rId1"/>
    <sheet name="Ex_01_b" sheetId="5" r:id="rId2"/>
    <sheet name="Ex02" sheetId="2" r:id="rId3"/>
    <sheet name="Ex03" sheetId="3" r:id="rId4"/>
    <sheet name="Ex04_Cheyenne" sheetId="9" r:id="rId5"/>
    <sheet name="Ex05_Ex12.10" sheetId="8" r:id="rId6"/>
    <sheet name="Ex06_EX12.16" sheetId="11" r:id="rId7"/>
    <sheet name="Ex07_EX12.22" sheetId="12" r:id="rId8"/>
    <sheet name="Ex08_EX12.24" sheetId="14" r:id="rId9"/>
    <sheet name="Ex10_Minicaso" sheetId="17" r:id="rId10"/>
    <sheet name="EX10_Excel" sheetId="16" r:id="rId11"/>
    <sheet name="EX12_KW_Action" sheetId="18" r:id="rId12"/>
  </sheets>
  <calcPr calcId="125725"/>
</workbook>
</file>

<file path=xl/calcChain.xml><?xml version="1.0" encoding="utf-8"?>
<calcChain xmlns="http://schemas.openxmlformats.org/spreadsheetml/2006/main">
  <c r="L25" i="14"/>
  <c r="L23"/>
  <c r="L22"/>
  <c r="E20"/>
  <c r="F20" s="1"/>
  <c r="E19"/>
  <c r="F19" s="1"/>
  <c r="D13"/>
  <c r="E13" s="1"/>
  <c r="D12"/>
  <c r="E12" s="1"/>
  <c r="C14"/>
  <c r="J30" i="9"/>
  <c r="J26"/>
  <c r="J25"/>
  <c r="F33" i="12"/>
  <c r="D19"/>
  <c r="F35" s="1"/>
  <c r="K19" i="5"/>
  <c r="I19"/>
  <c r="K26"/>
  <c r="K14"/>
  <c r="I14"/>
  <c r="H59" i="11"/>
  <c r="H57"/>
  <c r="C11"/>
  <c r="C16"/>
  <c r="D11"/>
  <c r="J26" s="1"/>
  <c r="K25"/>
  <c r="J47" i="2"/>
  <c r="C16"/>
  <c r="K41"/>
  <c r="I40"/>
  <c r="J45"/>
  <c r="I42"/>
  <c r="I36"/>
  <c r="I23"/>
  <c r="I25"/>
  <c r="D11"/>
  <c r="J24" s="1"/>
  <c r="C11"/>
  <c r="K23" s="1"/>
  <c r="I26" i="5"/>
  <c r="I14" i="6"/>
  <c r="I26" s="1"/>
  <c r="D5"/>
  <c r="H8" s="1"/>
  <c r="I19" s="1"/>
  <c r="K19" s="1"/>
  <c r="H8" i="5"/>
  <c r="D5"/>
  <c r="D41" i="12" l="1"/>
  <c r="D43" s="1"/>
  <c r="F12" i="14"/>
  <c r="G12" s="1"/>
  <c r="F37" i="12"/>
  <c r="I20"/>
  <c r="D14" i="14"/>
  <c r="O43" i="11"/>
  <c r="O46"/>
  <c r="O44"/>
  <c r="O47"/>
  <c r="O45"/>
  <c r="I24"/>
  <c r="I22"/>
  <c r="I26"/>
  <c r="K22"/>
  <c r="J23"/>
  <c r="K24"/>
  <c r="J25"/>
  <c r="K26"/>
  <c r="J22"/>
  <c r="I23"/>
  <c r="K23"/>
  <c r="J24"/>
  <c r="I25"/>
  <c r="J25" i="2"/>
  <c r="J23"/>
  <c r="J22"/>
  <c r="J29" s="1"/>
  <c r="K26"/>
  <c r="K24"/>
  <c r="K29" s="1"/>
  <c r="I26"/>
  <c r="I24"/>
  <c r="J26"/>
  <c r="I22"/>
  <c r="I29" s="1"/>
  <c r="K22"/>
  <c r="K25"/>
  <c r="K26" i="6"/>
  <c r="K14"/>
  <c r="J26" i="12" l="1"/>
  <c r="I26"/>
  <c r="O53" i="11"/>
  <c r="I29"/>
  <c r="K29"/>
  <c r="J29"/>
  <c r="I32" i="2"/>
  <c r="H34" i="11" l="1"/>
  <c r="H37" s="1"/>
  <c r="K44" l="1"/>
  <c r="K46"/>
  <c r="K43"/>
  <c r="K45"/>
  <c r="K47"/>
  <c r="L45" l="1"/>
  <c r="M45" s="1"/>
  <c r="N45"/>
  <c r="N46"/>
  <c r="L46"/>
  <c r="M46" s="1"/>
  <c r="L47"/>
  <c r="M47" s="1"/>
  <c r="N47"/>
  <c r="N43"/>
  <c r="L43"/>
  <c r="M43" s="1"/>
  <c r="N44"/>
  <c r="L44"/>
  <c r="M44" s="1"/>
  <c r="M53" l="1"/>
  <c r="N53"/>
</calcChain>
</file>

<file path=xl/comments1.xml><?xml version="1.0" encoding="utf-8"?>
<comments xmlns="http://schemas.openxmlformats.org/spreadsheetml/2006/main">
  <authors>
    <author>Eder Lucio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 xml:space="preserve">Eder Lucio:
</t>
        </r>
        <r>
          <rPr>
            <sz val="9"/>
            <color indexed="81"/>
            <rFont val="Tahoma"/>
            <family val="2"/>
          </rPr>
          <t>Escolha o tipo de distribuição t-Student.</t>
        </r>
      </text>
    </comment>
  </commentList>
</comments>
</file>

<file path=xl/comments2.xml><?xml version="1.0" encoding="utf-8"?>
<comments xmlns="http://schemas.openxmlformats.org/spreadsheetml/2006/main">
  <authors>
    <author>Eder Lucio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 xml:space="preserve">Eder Lucio:
</t>
        </r>
        <r>
          <rPr>
            <sz val="9"/>
            <color indexed="81"/>
            <rFont val="Tahoma"/>
            <family val="2"/>
          </rPr>
          <t>Escolha o tipo de distribuição t-Student.</t>
        </r>
      </text>
    </comment>
  </commentList>
</comments>
</file>

<file path=xl/sharedStrings.xml><?xml version="1.0" encoding="utf-8"?>
<sst xmlns="http://schemas.openxmlformats.org/spreadsheetml/2006/main" count="730" uniqueCount="376">
  <si>
    <t>n</t>
  </si>
  <si>
    <t>r</t>
  </si>
  <si>
    <t xml:space="preserve"> α</t>
  </si>
  <si>
    <t>gl</t>
  </si>
  <si>
    <t>INVT(0,05;18)</t>
  </si>
  <si>
    <t>Estatística t</t>
  </si>
  <si>
    <t>1)</t>
  </si>
  <si>
    <t>2)</t>
  </si>
  <si>
    <t>DECISÃO</t>
  </si>
  <si>
    <t>H0</t>
  </si>
  <si>
    <t>H1</t>
  </si>
  <si>
    <t xml:space="preserve">Decisão usando o p-value: </t>
  </si>
  <si>
    <t>p-value</t>
  </si>
  <si>
    <t xml:space="preserve">1) a) </t>
  </si>
  <si>
    <t>ρ = 0</t>
  </si>
  <si>
    <t>ρ ≠ 0</t>
  </si>
  <si>
    <r>
      <rPr>
        <b/>
        <u/>
        <sz val="12"/>
        <color theme="1"/>
        <rFont val="Calibri"/>
        <family val="2"/>
        <scheme val="minor"/>
      </rPr>
      <t>Passo 01</t>
    </r>
    <r>
      <rPr>
        <b/>
        <sz val="12"/>
        <color theme="1"/>
        <rFont val="Calibri"/>
        <family val="2"/>
        <scheme val="minor"/>
      </rPr>
      <t>:</t>
    </r>
    <r>
      <rPr>
        <sz val="12"/>
        <color theme="1"/>
        <rFont val="Calibri"/>
        <family val="2"/>
        <scheme val="minor"/>
      </rPr>
      <t xml:space="preserve"> Definir as hipóteses: </t>
    </r>
  </si>
  <si>
    <r>
      <rPr>
        <b/>
        <u/>
        <sz val="12"/>
        <color theme="1"/>
        <rFont val="Calibri"/>
        <family val="2"/>
        <scheme val="minor"/>
      </rPr>
      <t>Passo 02</t>
    </r>
    <r>
      <rPr>
        <b/>
        <sz val="12"/>
        <color theme="1"/>
        <rFont val="Calibri"/>
        <family val="2"/>
        <scheme val="minor"/>
      </rPr>
      <t xml:space="preserve">: </t>
    </r>
    <r>
      <rPr>
        <sz val="12"/>
        <color theme="1"/>
        <rFont val="Calibri"/>
        <family val="2"/>
        <scheme val="minor"/>
      </rPr>
      <t xml:space="preserve">Calcule o valor t  crítico (tabelado):  </t>
    </r>
  </si>
  <si>
    <r>
      <rPr>
        <b/>
        <u/>
        <sz val="12"/>
        <color theme="1"/>
        <rFont val="Calibri"/>
        <family val="2"/>
        <scheme val="minor"/>
      </rPr>
      <t>Passo 03</t>
    </r>
    <r>
      <rPr>
        <b/>
        <sz val="12"/>
        <color theme="1"/>
        <rFont val="Calibri"/>
        <family val="2"/>
        <scheme val="minor"/>
      </rPr>
      <t xml:space="preserve">: </t>
    </r>
    <r>
      <rPr>
        <sz val="12"/>
        <color theme="1"/>
        <rFont val="Calibri"/>
        <family val="2"/>
        <scheme val="minor"/>
      </rPr>
      <t xml:space="preserve">Tome a decisão (estatísticas do teste): </t>
    </r>
  </si>
  <si>
    <r>
      <rPr>
        <b/>
        <u/>
        <sz val="12"/>
        <color theme="1"/>
        <rFont val="Calibri"/>
        <family val="2"/>
        <scheme val="minor"/>
      </rPr>
      <t>Passo 04</t>
    </r>
    <r>
      <rPr>
        <sz val="12"/>
        <color theme="1"/>
        <rFont val="Calibri"/>
        <family val="2"/>
        <scheme val="minor"/>
      </rPr>
      <t xml:space="preserve">: </t>
    </r>
  </si>
  <si>
    <t>Dist. T</t>
  </si>
  <si>
    <t>Unicaudal</t>
  </si>
  <si>
    <t>Bicaudal</t>
  </si>
  <si>
    <t>Dist t</t>
  </si>
  <si>
    <t>X</t>
  </si>
  <si>
    <t>Y</t>
  </si>
  <si>
    <t>Exemplo 02: (Exercício 12.2) - pag 497</t>
  </si>
  <si>
    <t xml:space="preserve">Horas Trabalhadas (X) </t>
  </si>
  <si>
    <t>Salário Pago(Y)</t>
  </si>
  <si>
    <t>RENDA SEMANAL</t>
  </si>
  <si>
    <t xml:space="preserve">b) Calculando a soma de Quadrados: </t>
  </si>
  <si>
    <t>Média</t>
  </si>
  <si>
    <t>Soma</t>
  </si>
  <si>
    <t xml:space="preserve">a) Gráfico de Dispersão: </t>
  </si>
  <si>
    <t>Conferindo o cálculo utilizando a função CORREL(X,Y):</t>
  </si>
  <si>
    <r>
      <t>SS</t>
    </r>
    <r>
      <rPr>
        <b/>
        <sz val="9"/>
        <color theme="1"/>
        <rFont val="Calibri"/>
        <family val="2"/>
        <scheme val="minor"/>
      </rPr>
      <t>xx</t>
    </r>
  </si>
  <si>
    <r>
      <t>SS</t>
    </r>
    <r>
      <rPr>
        <b/>
        <sz val="9"/>
        <color theme="1"/>
        <rFont val="Calibri"/>
        <family val="2"/>
        <scheme val="minor"/>
      </rPr>
      <t>yy</t>
    </r>
  </si>
  <si>
    <r>
      <t>SS</t>
    </r>
    <r>
      <rPr>
        <b/>
        <sz val="9"/>
        <color theme="1"/>
        <rFont val="Calibri"/>
        <family val="2"/>
        <scheme val="minor"/>
      </rPr>
      <t>xy</t>
    </r>
  </si>
  <si>
    <r>
      <t>(x</t>
    </r>
    <r>
      <rPr>
        <b/>
        <sz val="8"/>
        <color theme="1"/>
        <rFont val="Calibri"/>
        <family val="2"/>
        <scheme val="minor"/>
      </rPr>
      <t>i</t>
    </r>
    <r>
      <rPr>
        <b/>
        <sz val="12"/>
        <color theme="1"/>
        <rFont val="Calibri"/>
        <family val="2"/>
        <scheme val="minor"/>
      </rPr>
      <t>-media(x))^2</t>
    </r>
  </si>
  <si>
    <r>
      <t>(y</t>
    </r>
    <r>
      <rPr>
        <b/>
        <sz val="8"/>
        <color theme="1"/>
        <rFont val="Calibri"/>
        <family val="2"/>
        <scheme val="minor"/>
      </rPr>
      <t>i</t>
    </r>
    <r>
      <rPr>
        <b/>
        <sz val="12"/>
        <color theme="1"/>
        <rFont val="Calibri"/>
        <family val="2"/>
        <scheme val="minor"/>
      </rPr>
      <t>-media(x))^2</t>
    </r>
  </si>
  <si>
    <r>
      <t>(x</t>
    </r>
    <r>
      <rPr>
        <b/>
        <sz val="8"/>
        <color theme="1"/>
        <rFont val="Calibri"/>
        <family val="2"/>
        <scheme val="minor"/>
      </rPr>
      <t>i</t>
    </r>
    <r>
      <rPr>
        <b/>
        <sz val="12"/>
        <color theme="1"/>
        <rFont val="Calibri"/>
        <family val="2"/>
        <scheme val="minor"/>
      </rPr>
      <t>-media(x)) * (yi-media(x))</t>
    </r>
  </si>
  <si>
    <t xml:space="preserve">c) Usando a tabela t-Student: </t>
  </si>
  <si>
    <r>
      <t>r</t>
    </r>
    <r>
      <rPr>
        <sz val="8"/>
        <color theme="1"/>
        <rFont val="Calibri"/>
        <family val="2"/>
        <scheme val="minor"/>
      </rPr>
      <t>α</t>
    </r>
    <r>
      <rPr>
        <sz val="12"/>
        <color theme="1"/>
        <rFont val="Calibri"/>
        <family val="2"/>
        <scheme val="minor"/>
      </rPr>
      <t xml:space="preserve"> = </t>
    </r>
  </si>
  <si>
    <r>
      <t>t</t>
    </r>
    <r>
      <rPr>
        <sz val="8"/>
        <color theme="1"/>
        <rFont val="Calibri"/>
        <family val="2"/>
        <scheme val="minor"/>
      </rPr>
      <t>α</t>
    </r>
    <r>
      <rPr>
        <sz val="12"/>
        <color theme="1"/>
        <rFont val="Calibri"/>
        <family val="2"/>
        <scheme val="minor"/>
      </rPr>
      <t xml:space="preserve"> = </t>
    </r>
  </si>
  <si>
    <t>t (tabelado)</t>
  </si>
  <si>
    <t>estatística t</t>
  </si>
  <si>
    <t>d) Decisão</t>
  </si>
  <si>
    <t>Usando a estatística t</t>
  </si>
  <si>
    <t>Usando p-value</t>
  </si>
  <si>
    <t>g.l</t>
  </si>
  <si>
    <t>Burglary</t>
  </si>
  <si>
    <t>Age65%</t>
  </si>
  <si>
    <t>Income</t>
  </si>
  <si>
    <t>Unem</t>
  </si>
  <si>
    <t>SATQ</t>
  </si>
  <si>
    <t>Cancer</t>
  </si>
  <si>
    <t>Unmar</t>
  </si>
  <si>
    <t>Urban%</t>
  </si>
  <si>
    <t>MATRIZ DE CORRELAÇÃO</t>
  </si>
  <si>
    <t>DADOS DO PROCESSO</t>
  </si>
  <si>
    <t>Matriz de Correlação: Pearson</t>
  </si>
  <si>
    <t>Matriz de P-valores</t>
  </si>
  <si>
    <t xml:space="preserve">American Express   </t>
  </si>
  <si>
    <t>diversified finance</t>
  </si>
  <si>
    <t xml:space="preserve">United States  </t>
  </si>
  <si>
    <t xml:space="preserve">BT Group   </t>
  </si>
  <si>
    <t>telecom services</t>
  </si>
  <si>
    <t xml:space="preserve">United Kingdom  </t>
  </si>
  <si>
    <t xml:space="preserve">SBC Communications   </t>
  </si>
  <si>
    <t xml:space="preserve">ABN-Amro Holding </t>
  </si>
  <si>
    <t>bank</t>
  </si>
  <si>
    <t xml:space="preserve">Netherlands </t>
  </si>
  <si>
    <t xml:space="preserve">Aegon Insurance Group </t>
  </si>
  <si>
    <t>insurance</t>
  </si>
  <si>
    <t xml:space="preserve">Allstate </t>
  </si>
  <si>
    <t xml:space="preserve">United States </t>
  </si>
  <si>
    <t xml:space="preserve">Altria Group </t>
  </si>
  <si>
    <t>food products</t>
  </si>
  <si>
    <t xml:space="preserve">American International Group </t>
  </si>
  <si>
    <t xml:space="preserve">AXA Group </t>
  </si>
  <si>
    <t xml:space="preserve">France </t>
  </si>
  <si>
    <t xml:space="preserve">Banco Santander Central </t>
  </si>
  <si>
    <t xml:space="preserve">Spain </t>
  </si>
  <si>
    <t xml:space="preserve">Bank of America </t>
  </si>
  <si>
    <t xml:space="preserve">Bank One </t>
  </si>
  <si>
    <t xml:space="preserve">Barclays </t>
  </si>
  <si>
    <t xml:space="preserve">United Kingdom </t>
  </si>
  <si>
    <t xml:space="preserve">BASF Group </t>
  </si>
  <si>
    <t>chemicals</t>
  </si>
  <si>
    <t xml:space="preserve">Germany </t>
  </si>
  <si>
    <t xml:space="preserve">BBVA-Banco Bilbao Vizcaya </t>
  </si>
  <si>
    <t xml:space="preserve">BellSouth </t>
  </si>
  <si>
    <t xml:space="preserve">Berkshire Hathaway </t>
  </si>
  <si>
    <t xml:space="preserve">BMW </t>
  </si>
  <si>
    <t>automobile</t>
  </si>
  <si>
    <t xml:space="preserve">BNP Paribas </t>
  </si>
  <si>
    <t xml:space="preserve">Boeing </t>
  </si>
  <si>
    <t>aerospace &amp; defense</t>
  </si>
  <si>
    <t xml:space="preserve">BP </t>
  </si>
  <si>
    <t>oil &amp; gas</t>
  </si>
  <si>
    <t xml:space="preserve">Carrefour Group </t>
  </si>
  <si>
    <t>food &amp; drug retail</t>
  </si>
  <si>
    <t xml:space="preserve">ChevronTexaco </t>
  </si>
  <si>
    <t xml:space="preserve">China Mobile (HK) </t>
  </si>
  <si>
    <t>wireless telecom svcs</t>
  </si>
  <si>
    <t xml:space="preserve">Hong Kong/China </t>
  </si>
  <si>
    <t xml:space="preserve">China Petroleum &amp; Chemical </t>
  </si>
  <si>
    <t xml:space="preserve">China </t>
  </si>
  <si>
    <t xml:space="preserve">Cisco Systems </t>
  </si>
  <si>
    <t>communications equipment</t>
  </si>
  <si>
    <t xml:space="preserve">Citigroup </t>
  </si>
  <si>
    <t xml:space="preserve">Coca-Cola </t>
  </si>
  <si>
    <t>beverages</t>
  </si>
  <si>
    <t xml:space="preserve">ConocoPhillips </t>
  </si>
  <si>
    <t xml:space="preserve">Credit Agricole </t>
  </si>
  <si>
    <t xml:space="preserve">Credit Lyonnais Group </t>
  </si>
  <si>
    <t xml:space="preserve">DaimlerChrysler </t>
  </si>
  <si>
    <t xml:space="preserve">Dexia </t>
  </si>
  <si>
    <t xml:space="preserve">Belgium </t>
  </si>
  <si>
    <t xml:space="preserve">E.On </t>
  </si>
  <si>
    <t>electric utility</t>
  </si>
  <si>
    <t xml:space="preserve">EI du Pont de Nemours </t>
  </si>
  <si>
    <t xml:space="preserve">ENEL </t>
  </si>
  <si>
    <t xml:space="preserve">Italy </t>
  </si>
  <si>
    <t xml:space="preserve">ENI </t>
  </si>
  <si>
    <t xml:space="preserve">ExxonMobil </t>
  </si>
  <si>
    <t xml:space="preserve">Fannie Mae </t>
  </si>
  <si>
    <t xml:space="preserve">FleetBoston Financial </t>
  </si>
  <si>
    <t xml:space="preserve">Ford Motor </t>
  </si>
  <si>
    <t xml:space="preserve">Fortis </t>
  </si>
  <si>
    <t xml:space="preserve">Freddie Mac </t>
  </si>
  <si>
    <t xml:space="preserve">General Electric </t>
  </si>
  <si>
    <t>multi-industry</t>
  </si>
  <si>
    <t xml:space="preserve">General Motors </t>
  </si>
  <si>
    <t xml:space="preserve">GlaxoSmithKline </t>
  </si>
  <si>
    <t>pharmaceuticals</t>
  </si>
  <si>
    <t xml:space="preserve">Goldman Sachs Group </t>
  </si>
  <si>
    <t xml:space="preserve">HBOS </t>
  </si>
  <si>
    <t xml:space="preserve">Home Depot </t>
  </si>
  <si>
    <t>specialty retail</t>
  </si>
  <si>
    <t xml:space="preserve">Honda Motor </t>
  </si>
  <si>
    <t xml:space="preserve">Japan </t>
  </si>
  <si>
    <t xml:space="preserve">HSBC Group </t>
  </si>
  <si>
    <t xml:space="preserve">ING Group </t>
  </si>
  <si>
    <t xml:space="preserve">Intel </t>
  </si>
  <si>
    <t>semiconductor equip &amp; products</t>
  </si>
  <si>
    <t xml:space="preserve">International Business Machines </t>
  </si>
  <si>
    <t>computers &amp; peripherals</t>
  </si>
  <si>
    <t xml:space="preserve">Johnson &amp; Johnson </t>
  </si>
  <si>
    <t xml:space="preserve">JP Morgan Chase &amp; Co </t>
  </si>
  <si>
    <t xml:space="preserve">Lloyds TSB Group </t>
  </si>
  <si>
    <t xml:space="preserve">Merck </t>
  </si>
  <si>
    <t xml:space="preserve">Merrill Lynch </t>
  </si>
  <si>
    <t xml:space="preserve">MetLife </t>
  </si>
  <si>
    <t xml:space="preserve">Microsoft </t>
  </si>
  <si>
    <t>software</t>
  </si>
  <si>
    <t xml:space="preserve">Morgan Stanley </t>
  </si>
  <si>
    <t xml:space="preserve">Munich Re </t>
  </si>
  <si>
    <t xml:space="preserve">National Australia Bank </t>
  </si>
  <si>
    <t xml:space="preserve">Australia </t>
  </si>
  <si>
    <t xml:space="preserve">Nestle </t>
  </si>
  <si>
    <t xml:space="preserve">Switzerland </t>
  </si>
  <si>
    <t xml:space="preserve">Nippon Tel &amp; Tel </t>
  </si>
  <si>
    <t xml:space="preserve">Nissan Motor </t>
  </si>
  <si>
    <t xml:space="preserve">Nokia </t>
  </si>
  <si>
    <t xml:space="preserve">Finland </t>
  </si>
  <si>
    <t xml:space="preserve">Novartis Group </t>
  </si>
  <si>
    <t xml:space="preserve">PetroChina </t>
  </si>
  <si>
    <t xml:space="preserve">Peugeot Groupe </t>
  </si>
  <si>
    <t xml:space="preserve">Pfizer </t>
  </si>
  <si>
    <t xml:space="preserve">Procter &amp; Gamble </t>
  </si>
  <si>
    <t>household products</t>
  </si>
  <si>
    <t xml:space="preserve">Repsol-YPF </t>
  </si>
  <si>
    <t xml:space="preserve">Royal Bank of Canada </t>
  </si>
  <si>
    <t xml:space="preserve">Canada </t>
  </si>
  <si>
    <t xml:space="preserve">Royal Bank of Scotland </t>
  </si>
  <si>
    <t xml:space="preserve">Royal Dutch/Shell Group </t>
  </si>
  <si>
    <t xml:space="preserve">RWE Group </t>
  </si>
  <si>
    <t>diversified utilities</t>
  </si>
  <si>
    <t xml:space="preserve">Samsung Electronics </t>
  </si>
  <si>
    <t xml:space="preserve">South Korea </t>
  </si>
  <si>
    <t xml:space="preserve">Siemens Group </t>
  </si>
  <si>
    <t xml:space="preserve">Societe Generale Group </t>
  </si>
  <si>
    <t xml:space="preserve">Sony </t>
  </si>
  <si>
    <t>household durables</t>
  </si>
  <si>
    <t xml:space="preserve">Target </t>
  </si>
  <si>
    <t>diversified retail</t>
  </si>
  <si>
    <t xml:space="preserve">Tokyo Electric Power </t>
  </si>
  <si>
    <t xml:space="preserve">Total </t>
  </si>
  <si>
    <t xml:space="preserve">Toyota Motor </t>
  </si>
  <si>
    <t xml:space="preserve">UBS </t>
  </si>
  <si>
    <t xml:space="preserve">UniCredito Italiano </t>
  </si>
  <si>
    <t xml:space="preserve">Unilever </t>
  </si>
  <si>
    <t xml:space="preserve">United Parcel Service </t>
  </si>
  <si>
    <t>air freight &amp; couriers</t>
  </si>
  <si>
    <t xml:space="preserve">United Technologies </t>
  </si>
  <si>
    <t xml:space="preserve">US Bancorp </t>
  </si>
  <si>
    <t xml:space="preserve">Verizon Communications </t>
  </si>
  <si>
    <t xml:space="preserve">Viacom International </t>
  </si>
  <si>
    <t>media</t>
  </si>
  <si>
    <t xml:space="preserve">Volkswagen Group </t>
  </si>
  <si>
    <t xml:space="preserve">Wachovia </t>
  </si>
  <si>
    <t xml:space="preserve">Wal-Mart Stores </t>
  </si>
  <si>
    <t xml:space="preserve">Walt Disney </t>
  </si>
  <si>
    <t xml:space="preserve">Washington Mutual </t>
  </si>
  <si>
    <t xml:space="preserve">Wells Fargo </t>
  </si>
  <si>
    <t>Coeficientes</t>
  </si>
  <si>
    <t>Estimativa</t>
  </si>
  <si>
    <t>Desvio Padrão</t>
  </si>
  <si>
    <t>Estat. T</t>
  </si>
  <si>
    <t>P-valor</t>
  </si>
  <si>
    <t>Resíduos</t>
  </si>
  <si>
    <t>Mínimo</t>
  </si>
  <si>
    <t>1Q</t>
  </si>
  <si>
    <t>Mediana</t>
  </si>
  <si>
    <t>3Q</t>
  </si>
  <si>
    <t>Máximo</t>
  </si>
  <si>
    <t>Desvio Padrão dos Resíduos</t>
  </si>
  <si>
    <t>Graus de Liberdade</t>
  </si>
  <si>
    <t>R^2</t>
  </si>
  <si>
    <t>R^2 Ajustado</t>
  </si>
  <si>
    <t>MODELO DE REGRESSÃO LINEAR</t>
  </si>
  <si>
    <t>Tabela da Anova</t>
  </si>
  <si>
    <t>Fatores</t>
  </si>
  <si>
    <t>Residuals</t>
  </si>
  <si>
    <t>G.L.</t>
  </si>
  <si>
    <t>Soma Quad</t>
  </si>
  <si>
    <t>Quadrado Médio</t>
  </si>
  <si>
    <t>Estat. F</t>
  </si>
  <si>
    <t>Intercepto</t>
  </si>
  <si>
    <t>Preditor</t>
  </si>
  <si>
    <t>Horas de Vôo</t>
  </si>
  <si>
    <t>Consumo</t>
  </si>
  <si>
    <t>Aeronave  Piper Cheyenne</t>
  </si>
  <si>
    <t>Horas_de_Vôo</t>
  </si>
  <si>
    <t>Receita(X)</t>
  </si>
  <si>
    <t>País</t>
  </si>
  <si>
    <t>Tipo de Negócio</t>
  </si>
  <si>
    <t>Companhia</t>
  </si>
  <si>
    <t>RendaLiquida(Y)</t>
  </si>
  <si>
    <t xml:space="preserve">a) Calculando a soma de Quadrados: </t>
  </si>
  <si>
    <t xml:space="preserve">Gráfico de Dispersão: </t>
  </si>
  <si>
    <t xml:space="preserve">b) Calculando o Coeficiente Angular e o Intercepto:  </t>
  </si>
  <si>
    <t>Exercício 12.10 - Pag - 100 Companhias Globais</t>
  </si>
  <si>
    <r>
      <t>b</t>
    </r>
    <r>
      <rPr>
        <sz val="8"/>
        <color theme="1"/>
        <rFont val="Calibri"/>
        <family val="2"/>
        <scheme val="minor"/>
      </rPr>
      <t>0</t>
    </r>
    <r>
      <rPr>
        <sz val="12"/>
        <color theme="1"/>
        <rFont val="Calibri"/>
        <family val="2"/>
        <scheme val="minor"/>
      </rPr>
      <t xml:space="preserve"> = </t>
    </r>
  </si>
  <si>
    <r>
      <t>b</t>
    </r>
    <r>
      <rPr>
        <sz val="8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= </t>
    </r>
  </si>
  <si>
    <t>Salário Pago Estimado (     )</t>
  </si>
  <si>
    <r>
      <t>SQ</t>
    </r>
    <r>
      <rPr>
        <b/>
        <sz val="8"/>
        <color theme="1"/>
        <rFont val="Calibri"/>
        <family val="2"/>
        <scheme val="minor"/>
      </rPr>
      <t>erro</t>
    </r>
  </si>
  <si>
    <r>
      <t>SQ</t>
    </r>
    <r>
      <rPr>
        <b/>
        <sz val="8"/>
        <color theme="1"/>
        <rFont val="Calibri"/>
        <family val="2"/>
        <scheme val="minor"/>
      </rPr>
      <t>tot</t>
    </r>
  </si>
  <si>
    <r>
      <t>SQ</t>
    </r>
    <r>
      <rPr>
        <b/>
        <sz val="8"/>
        <color theme="1"/>
        <rFont val="Calibri"/>
        <family val="2"/>
        <scheme val="minor"/>
      </rPr>
      <t>reg</t>
    </r>
  </si>
  <si>
    <t xml:space="preserve">c) Obtendo o SQerro, SQreg e SQtot: </t>
  </si>
  <si>
    <t>D) Calculando a medida R^2:</t>
  </si>
  <si>
    <t xml:space="preserve">R^2 = </t>
  </si>
  <si>
    <t>ou</t>
  </si>
  <si>
    <t>ρ &gt; 0</t>
  </si>
  <si>
    <t>(erro padrão do intercepto)</t>
  </si>
  <si>
    <t>(erro padrão do coeficiente angular)</t>
  </si>
  <si>
    <r>
      <t>S</t>
    </r>
    <r>
      <rPr>
        <sz val="9"/>
        <color theme="1"/>
        <rFont val="Calibri"/>
        <family val="2"/>
        <scheme val="minor"/>
      </rPr>
      <t>b</t>
    </r>
    <r>
      <rPr>
        <sz val="8"/>
        <color theme="1"/>
        <rFont val="Calibri"/>
        <family val="2"/>
        <scheme val="minor"/>
      </rPr>
      <t>1</t>
    </r>
  </si>
  <si>
    <t>a) No quadro</t>
  </si>
  <si>
    <t xml:space="preserve">b) </t>
  </si>
  <si>
    <t xml:space="preserve">b0 = </t>
  </si>
  <si>
    <t xml:space="preserve">b1 = </t>
  </si>
  <si>
    <t>Tabela t</t>
  </si>
  <si>
    <t>(alfa = 0,05)</t>
  </si>
  <si>
    <t xml:space="preserve">t = </t>
  </si>
  <si>
    <t>INVT(0,05;14)</t>
  </si>
  <si>
    <t xml:space="preserve">1) Calculando o valor t  crítico (tabelado):  </t>
  </si>
  <si>
    <r>
      <t>S</t>
    </r>
    <r>
      <rPr>
        <sz val="8"/>
        <color theme="1"/>
        <rFont val="Calibri"/>
        <family val="2"/>
        <scheme val="minor"/>
      </rPr>
      <t xml:space="preserve">b0 </t>
    </r>
    <r>
      <rPr>
        <sz val="11"/>
        <color theme="1"/>
        <rFont val="Calibri"/>
        <family val="2"/>
        <scheme val="minor"/>
      </rPr>
      <t xml:space="preserve">= </t>
    </r>
  </si>
  <si>
    <r>
      <t>S</t>
    </r>
    <r>
      <rPr>
        <sz val="8"/>
        <color theme="1"/>
        <rFont val="Calibri"/>
        <family val="2"/>
        <scheme val="minor"/>
      </rPr>
      <t>b1</t>
    </r>
    <r>
      <rPr>
        <sz val="11"/>
        <color theme="1"/>
        <rFont val="Calibri"/>
        <family val="2"/>
        <scheme val="minor"/>
      </rPr>
      <t xml:space="preserve"> = </t>
    </r>
  </si>
  <si>
    <t xml:space="preserve">2) Intervalo de Confiança: </t>
  </si>
  <si>
    <t xml:space="preserve">IC = </t>
  </si>
  <si>
    <t xml:space="preserve">c) </t>
  </si>
  <si>
    <t>Hipóteses</t>
  </si>
  <si>
    <t>b1 = 0</t>
  </si>
  <si>
    <t>b1 &gt; 0</t>
  </si>
  <si>
    <t>Estatística do teste</t>
  </si>
  <si>
    <t>Decisão</t>
  </si>
  <si>
    <t>d)</t>
  </si>
  <si>
    <t xml:space="preserve">Decisão pelo p-value: </t>
  </si>
  <si>
    <t xml:space="preserve">F = </t>
  </si>
  <si>
    <t>(distf(Fcalc,g.l. 01; g.l. 02)</t>
  </si>
  <si>
    <t>Refazendo a conta para F:</t>
  </si>
  <si>
    <t>Calculando o desvio padrão:</t>
  </si>
  <si>
    <t xml:space="preserve">Syx = </t>
  </si>
  <si>
    <t>Y =  614,93 - 109,1120*X</t>
  </si>
  <si>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) Escreva a equação da reta ajustada</t>
    </r>
  </si>
  <si>
    <r>
      <rPr>
        <b/>
        <sz val="11"/>
        <color theme="1"/>
        <rFont val="Calibri"/>
        <family val="2"/>
        <scheme val="minor"/>
      </rPr>
      <t>B)</t>
    </r>
    <r>
      <rPr>
        <sz val="11"/>
        <color theme="1"/>
        <rFont val="Calibri"/>
        <family val="2"/>
        <scheme val="minor"/>
      </rPr>
      <t xml:space="preserve"> Escreva a fórmula para cada estatística t e verifique as estatísticas t exibidas a seguir.</t>
    </r>
  </si>
  <si>
    <t>EXEMPLO 08: Exercício 12.24</t>
  </si>
  <si>
    <t>R2</t>
  </si>
  <si>
    <t>Std. Error</t>
  </si>
  <si>
    <t>F</t>
  </si>
  <si>
    <t>Regressão</t>
  </si>
  <si>
    <t>Resíduo</t>
  </si>
  <si>
    <t>Total</t>
  </si>
  <si>
    <t>Fonte</t>
  </si>
  <si>
    <t>SQ</t>
  </si>
  <si>
    <t>g.l.</t>
  </si>
  <si>
    <t>QM</t>
  </si>
  <si>
    <t>alfa</t>
  </si>
  <si>
    <t>Tabela ANOVA</t>
  </si>
  <si>
    <t>Output da Regressão</t>
  </si>
  <si>
    <t>Variáveis</t>
  </si>
  <si>
    <t>Coef. Angular</t>
  </si>
  <si>
    <t>95% SUP</t>
  </si>
  <si>
    <t>95% INF</t>
  </si>
  <si>
    <t>Intervalos de Confiança</t>
  </si>
  <si>
    <t>t (g.l. = 18)</t>
  </si>
  <si>
    <r>
      <rPr>
        <sz val="12"/>
        <color theme="1"/>
        <rFont val="Calibri"/>
        <family val="2"/>
        <scheme val="minor"/>
      </rPr>
      <t>t</t>
    </r>
    <r>
      <rPr>
        <sz val="8"/>
        <color theme="1"/>
        <rFont val="Calibri"/>
        <family val="2"/>
        <scheme val="minor"/>
      </rPr>
      <t>tabelado</t>
    </r>
  </si>
  <si>
    <r>
      <t>S</t>
    </r>
    <r>
      <rPr>
        <sz val="9"/>
        <color theme="1"/>
        <rFont val="Calibri"/>
        <family val="2"/>
        <scheme val="minor"/>
      </rPr>
      <t>b</t>
    </r>
    <r>
      <rPr>
        <sz val="8"/>
        <color theme="1"/>
        <rFont val="Calibri"/>
        <family val="2"/>
        <scheme val="minor"/>
      </rPr>
      <t>0</t>
    </r>
  </si>
  <si>
    <r>
      <t>Erro Padrão (S</t>
    </r>
    <r>
      <rPr>
        <sz val="8"/>
        <color theme="1"/>
        <rFont val="Calibri"/>
        <family val="2"/>
        <scheme val="minor"/>
      </rPr>
      <t>bi</t>
    </r>
    <r>
      <rPr>
        <sz val="11"/>
        <color theme="1"/>
        <rFont val="Calibri"/>
        <family val="2"/>
        <scheme val="minor"/>
      </rPr>
      <t>)</t>
    </r>
  </si>
  <si>
    <t>Tabela ao lado!</t>
  </si>
  <si>
    <t>C) Exiba os graus de liberdade para as estatísticas t e determine os valores críticos:</t>
  </si>
  <si>
    <t>D) Verifique o p-value mostrado na tabela utilizando a função DISTT</t>
  </si>
  <si>
    <t xml:space="preserve">E) </t>
  </si>
  <si>
    <t xml:space="preserve">DISTF = </t>
  </si>
  <si>
    <r>
      <t>T</t>
    </r>
    <r>
      <rPr>
        <sz val="8"/>
        <color theme="1"/>
        <rFont val="Calibri"/>
        <family val="2"/>
        <scheme val="minor"/>
      </rPr>
      <t>inclin.</t>
    </r>
    <r>
      <rPr>
        <sz val="11"/>
        <color theme="1"/>
        <rFont val="Calibri"/>
        <family val="2"/>
        <scheme val="minor"/>
      </rPr>
      <t xml:space="preserve"> = </t>
    </r>
  </si>
  <si>
    <r>
      <t>(T</t>
    </r>
    <r>
      <rPr>
        <sz val="8"/>
        <color theme="1"/>
        <rFont val="Calibri"/>
        <family val="2"/>
        <scheme val="minor"/>
      </rPr>
      <t>inclin.)</t>
    </r>
    <r>
      <rPr>
        <sz val="11"/>
        <color theme="1"/>
        <rFont val="Calibri"/>
        <family val="2"/>
        <scheme val="minor"/>
      </rPr>
      <t xml:space="preserve">^2 = </t>
    </r>
  </si>
  <si>
    <t>No quadro e na tabela ao lado!</t>
  </si>
  <si>
    <t xml:space="preserve">F) Este modelo tem um ajuste não muito bom. Somente 20% da variação dos dados é capturada pela média dos preços (X).  Além disso, a estatística F tem uma significância muito próxima do limite 0,05. </t>
  </si>
  <si>
    <t>Exemplo 07 - Exercício 12.22</t>
  </si>
  <si>
    <t>Exemplo 04 - Aeronave Pipper Cheyenne</t>
  </si>
  <si>
    <t>Ano</t>
  </si>
  <si>
    <t>M1</t>
  </si>
  <si>
    <t>IPC</t>
  </si>
  <si>
    <t>Base Monetária e Inflação</t>
  </si>
  <si>
    <t>Exemplo 10 - Base Monetária e Inflação</t>
  </si>
  <si>
    <t>a) Inspeção Visual (Gráfico de Dispersão)</t>
  </si>
  <si>
    <t xml:space="preserve">b) Estimando o modelo: 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</si>
  <si>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</si>
  <si>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</si>
  <si>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</si>
  <si>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</si>
  <si>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</si>
  <si>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</si>
  <si>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</si>
  <si>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</si>
  <si>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Interseção</t>
  </si>
  <si>
    <t>MQ</t>
  </si>
  <si>
    <t>F de significação</t>
  </si>
  <si>
    <t>Stat t</t>
  </si>
  <si>
    <t>valor-P</t>
  </si>
  <si>
    <t>95% inferiores</t>
  </si>
  <si>
    <t>95% superiores</t>
  </si>
  <si>
    <t>Variável X 1</t>
  </si>
  <si>
    <t>RESULTADOS DE RESÍDUOS</t>
  </si>
  <si>
    <t>Observação</t>
  </si>
  <si>
    <t>Y previsto</t>
  </si>
  <si>
    <t>Resíduos padrão</t>
  </si>
  <si>
    <t>RESULTADOS DE PROBABILIDADE</t>
  </si>
  <si>
    <t>Percentil</t>
  </si>
  <si>
    <t>Teste de Falta de Ajuste</t>
  </si>
  <si>
    <t>Falta de ajuste</t>
  </si>
  <si>
    <t>Erro</t>
  </si>
  <si>
    <t>Teste de Outliers</t>
  </si>
  <si>
    <t>T-Valor</t>
  </si>
  <si>
    <t>P-valorBonferroni</t>
  </si>
  <si>
    <t>Tratamento A</t>
  </si>
  <si>
    <t>Tratamento B</t>
  </si>
  <si>
    <t>Tratamento C</t>
  </si>
  <si>
    <t>Informação</t>
  </si>
  <si>
    <t>Valor</t>
  </si>
  <si>
    <t>Kruskal-Wallis qui-quadrado</t>
  </si>
  <si>
    <t>Tratamento_A</t>
  </si>
  <si>
    <t>Tratamento_B</t>
  </si>
  <si>
    <t>Tratamento_C</t>
  </si>
  <si>
    <t>Solução:</t>
  </si>
  <si>
    <t>H0:</t>
  </si>
  <si>
    <t>Os três tratamentos possuem a mesma distribuição</t>
  </si>
  <si>
    <t xml:space="preserve">H1: </t>
  </si>
  <si>
    <t>Os três não tratamentos possuem a mesma distribuição</t>
  </si>
  <si>
    <r>
      <rPr>
        <b/>
        <sz val="11"/>
        <color theme="1"/>
        <rFont val="Calibri"/>
        <family val="2"/>
        <scheme val="minor"/>
      </rPr>
      <t>P1)</t>
    </r>
    <r>
      <rPr>
        <sz val="11"/>
        <color theme="1"/>
        <rFont val="Calibri"/>
        <family val="2"/>
        <scheme val="minor"/>
      </rPr>
      <t xml:space="preserve"> Hipóteses:</t>
    </r>
  </si>
  <si>
    <r>
      <rPr>
        <b/>
        <sz val="11"/>
        <color theme="1"/>
        <rFont val="Calibri"/>
        <family val="2"/>
        <scheme val="minor"/>
      </rPr>
      <t>P2)</t>
    </r>
    <r>
      <rPr>
        <sz val="11"/>
        <color theme="1"/>
        <rFont val="Calibri"/>
        <family val="2"/>
        <scheme val="minor"/>
      </rPr>
      <t xml:space="preserve"> significância</t>
    </r>
  </si>
  <si>
    <r>
      <rPr>
        <b/>
        <sz val="11"/>
        <color theme="1"/>
        <rFont val="Calibri"/>
        <family val="2"/>
        <scheme val="minor"/>
      </rPr>
      <t>P3)</t>
    </r>
    <r>
      <rPr>
        <sz val="11"/>
        <color theme="1"/>
        <rFont val="Calibri"/>
        <family val="2"/>
        <scheme val="minor"/>
      </rPr>
      <t xml:space="preserve"> Como N1, N2 e N3 &gt; 5, utilizamos a distribuição Qui-quadrado. </t>
    </r>
  </si>
  <si>
    <t>P4) TESTE DE KRUSKAL-WALLIS</t>
  </si>
  <si>
    <t>P5) DECISÃO</t>
  </si>
  <si>
    <r>
      <t>Como o p-valor &lt; 0.01, rejeitamos H</t>
    </r>
    <r>
      <rPr>
        <sz val="8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, ou seja, podemos concluir que há diferenças nas distribuições das amostras e, portanto, os tratamentos conduzem a resultados diferentes. </t>
    </r>
  </si>
</sst>
</file>

<file path=xl/styles.xml><?xml version="1.0" encoding="utf-8"?>
<styleSheet xmlns="http://schemas.openxmlformats.org/spreadsheetml/2006/main">
  <numFmts count="5">
    <numFmt numFmtId="164" formatCode="0.0000"/>
    <numFmt numFmtId="165" formatCode="0.00000000"/>
    <numFmt numFmtId="166" formatCode="0.000000"/>
    <numFmt numFmtId="167" formatCode="0.0"/>
    <numFmt numFmtId="168" formatCode="0.000"/>
  </numFmts>
  <fonts count="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2"/>
      <name val="Arial"/>
      <family val="2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indexed="18"/>
      <name val="Calibri"/>
      <family val="2"/>
      <scheme val="minor"/>
    </font>
    <font>
      <b/>
      <i/>
      <sz val="10"/>
      <color indexed="9"/>
      <name val="Calibri"/>
      <family val="2"/>
      <scheme val="minor"/>
    </font>
    <font>
      <i/>
      <sz val="10"/>
      <name val="Arial"/>
      <family val="2"/>
    </font>
    <font>
      <sz val="10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i/>
      <sz val="10"/>
      <color indexed="9"/>
      <name val="Calibri"/>
      <family val="2"/>
      <scheme val="minor"/>
    </font>
    <font>
      <b/>
      <i/>
      <sz val="10"/>
      <color indexed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18"/>
        <bgColor indexed="2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1">
    <xf numFmtId="0" fontId="0" fillId="0" borderId="0" xfId="0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4" fillId="0" borderId="0" xfId="0" applyFont="1"/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3" fillId="0" borderId="0" xfId="0" applyFont="1"/>
    <xf numFmtId="0" fontId="4" fillId="0" borderId="3" xfId="0" applyFont="1" applyBorder="1" applyAlignment="1">
      <alignment horizontal="center"/>
    </xf>
    <xf numFmtId="0" fontId="4" fillId="0" borderId="4" xfId="0" applyFont="1" applyBorder="1"/>
    <xf numFmtId="0" fontId="3" fillId="0" borderId="5" xfId="0" applyFont="1" applyBorder="1"/>
    <xf numFmtId="0" fontId="4" fillId="0" borderId="2" xfId="0" applyFont="1" applyBorder="1" applyAlignment="1">
      <alignment horizontal="center"/>
    </xf>
    <xf numFmtId="0" fontId="4" fillId="0" borderId="0" xfId="0" applyFont="1" applyBorder="1"/>
    <xf numFmtId="0" fontId="6" fillId="0" borderId="0" xfId="0" applyFont="1" applyBorder="1" applyAlignment="1">
      <alignment horizontal="center"/>
    </xf>
    <xf numFmtId="0" fontId="3" fillId="0" borderId="6" xfId="0" applyFont="1" applyBorder="1"/>
    <xf numFmtId="0" fontId="4" fillId="0" borderId="1" xfId="0" applyFont="1" applyBorder="1"/>
    <xf numFmtId="0" fontId="4" fillId="0" borderId="6" xfId="0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/>
    <xf numFmtId="164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/>
    <xf numFmtId="0" fontId="4" fillId="0" borderId="0" xfId="0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0" fontId="4" fillId="0" borderId="3" xfId="0" applyFont="1" applyBorder="1"/>
    <xf numFmtId="165" fontId="4" fillId="0" borderId="1" xfId="0" applyNumberFormat="1" applyFont="1" applyBorder="1"/>
    <xf numFmtId="0" fontId="4" fillId="0" borderId="7" xfId="0" applyFont="1" applyBorder="1"/>
    <xf numFmtId="0" fontId="2" fillId="0" borderId="0" xfId="0" applyFont="1"/>
    <xf numFmtId="0" fontId="6" fillId="2" borderId="10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0" xfId="0" applyFont="1"/>
    <xf numFmtId="0" fontId="4" fillId="2" borderId="1" xfId="0" applyFont="1" applyFill="1" applyBorder="1" applyAlignment="1">
      <alignment horizontal="center"/>
    </xf>
    <xf numFmtId="0" fontId="15" fillId="0" borderId="0" xfId="0" applyFont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164" fontId="4" fillId="0" borderId="0" xfId="0" applyNumberFormat="1" applyFont="1" applyAlignment="1">
      <alignment horizontal="center"/>
    </xf>
    <xf numFmtId="0" fontId="0" fillId="2" borderId="1" xfId="0" applyFill="1" applyBorder="1" applyAlignment="1">
      <alignment horizontal="center"/>
    </xf>
    <xf numFmtId="167" fontId="16" fillId="3" borderId="19" xfId="0" applyNumberFormat="1" applyFont="1" applyFill="1" applyBorder="1"/>
    <xf numFmtId="167" fontId="16" fillId="3" borderId="20" xfId="0" applyNumberFormat="1" applyFont="1" applyFill="1" applyBorder="1"/>
    <xf numFmtId="0" fontId="16" fillId="3" borderId="20" xfId="0" applyFont="1" applyFill="1" applyBorder="1"/>
    <xf numFmtId="167" fontId="17" fillId="3" borderId="20" xfId="0" applyNumberFormat="1" applyFont="1" applyFill="1" applyBorder="1"/>
    <xf numFmtId="167" fontId="16" fillId="3" borderId="21" xfId="0" applyNumberFormat="1" applyFont="1" applyFill="1" applyBorder="1" applyAlignment="1">
      <alignment horizontal="left" indent="2"/>
    </xf>
    <xf numFmtId="167" fontId="16" fillId="3" borderId="22" xfId="0" applyNumberFormat="1" applyFont="1" applyFill="1" applyBorder="1"/>
    <xf numFmtId="167" fontId="16" fillId="3" borderId="0" xfId="0" applyNumberFormat="1" applyFont="1" applyFill="1" applyBorder="1"/>
    <xf numFmtId="0" fontId="16" fillId="3" borderId="0" xfId="0" applyFont="1" applyFill="1" applyBorder="1"/>
    <xf numFmtId="167" fontId="17" fillId="3" borderId="0" xfId="0" applyNumberFormat="1" applyFont="1" applyFill="1" applyBorder="1"/>
    <xf numFmtId="167" fontId="16" fillId="3" borderId="23" xfId="0" applyNumberFormat="1" applyFont="1" applyFill="1" applyBorder="1" applyAlignment="1">
      <alignment horizontal="left" indent="2"/>
    </xf>
    <xf numFmtId="167" fontId="16" fillId="3" borderId="24" xfId="0" applyNumberFormat="1" applyFont="1" applyFill="1" applyBorder="1"/>
    <xf numFmtId="167" fontId="16" fillId="3" borderId="25" xfId="0" applyNumberFormat="1" applyFont="1" applyFill="1" applyBorder="1"/>
    <xf numFmtId="0" fontId="16" fillId="3" borderId="25" xfId="0" applyFont="1" applyFill="1" applyBorder="1"/>
    <xf numFmtId="167" fontId="17" fillId="3" borderId="25" xfId="0" applyNumberFormat="1" applyFont="1" applyFill="1" applyBorder="1"/>
    <xf numFmtId="167" fontId="16" fillId="3" borderId="26" xfId="0" applyNumberFormat="1" applyFont="1" applyFill="1" applyBorder="1" applyAlignment="1">
      <alignment horizontal="left" indent="2"/>
    </xf>
    <xf numFmtId="0" fontId="18" fillId="4" borderId="16" xfId="0" applyFont="1" applyFill="1" applyBorder="1" applyAlignment="1">
      <alignment horizontal="right"/>
    </xf>
    <xf numFmtId="0" fontId="18" fillId="4" borderId="17" xfId="0" applyFont="1" applyFill="1" applyBorder="1" applyAlignment="1">
      <alignment horizontal="right"/>
    </xf>
    <xf numFmtId="0" fontId="18" fillId="4" borderId="18" xfId="0" applyFont="1" applyFill="1" applyBorder="1" applyAlignment="1">
      <alignment horizontal="right"/>
    </xf>
    <xf numFmtId="0" fontId="19" fillId="0" borderId="0" xfId="0" applyFont="1"/>
    <xf numFmtId="0" fontId="21" fillId="6" borderId="27" xfId="0" applyFont="1" applyFill="1" applyBorder="1" applyAlignment="1">
      <alignment horizontal="center"/>
    </xf>
    <xf numFmtId="0" fontId="21" fillId="6" borderId="28" xfId="0" applyFont="1" applyFill="1" applyBorder="1" applyAlignment="1">
      <alignment horizontal="center"/>
    </xf>
    <xf numFmtId="0" fontId="21" fillId="6" borderId="29" xfId="0" applyFont="1" applyFill="1" applyBorder="1" applyAlignment="1">
      <alignment horizontal="center"/>
    </xf>
    <xf numFmtId="0" fontId="21" fillId="6" borderId="35" xfId="0" applyFont="1" applyFill="1" applyBorder="1" applyAlignment="1">
      <alignment horizontal="center"/>
    </xf>
    <xf numFmtId="0" fontId="21" fillId="6" borderId="8" xfId="0" applyFont="1" applyFill="1" applyBorder="1" applyAlignment="1">
      <alignment horizontal="center"/>
    </xf>
    <xf numFmtId="0" fontId="21" fillId="6" borderId="36" xfId="0" applyFont="1" applyFill="1" applyBorder="1" applyAlignment="1">
      <alignment horizontal="center"/>
    </xf>
    <xf numFmtId="0" fontId="20" fillId="5" borderId="30" xfId="0" applyFont="1" applyFill="1" applyBorder="1" applyAlignment="1">
      <alignment horizontal="center"/>
    </xf>
    <xf numFmtId="0" fontId="20" fillId="5" borderId="0" xfId="0" applyFont="1" applyFill="1" applyBorder="1" applyAlignment="1">
      <alignment horizontal="center"/>
    </xf>
    <xf numFmtId="0" fontId="20" fillId="5" borderId="31" xfId="0" applyFont="1" applyFill="1" applyBorder="1" applyAlignment="1">
      <alignment horizontal="center"/>
    </xf>
    <xf numFmtId="0" fontId="20" fillId="5" borderId="32" xfId="0" applyFont="1" applyFill="1" applyBorder="1" applyAlignment="1">
      <alignment horizontal="center"/>
    </xf>
    <xf numFmtId="0" fontId="20" fillId="5" borderId="33" xfId="0" applyFont="1" applyFill="1" applyBorder="1" applyAlignment="1">
      <alignment horizontal="center"/>
    </xf>
    <xf numFmtId="0" fontId="20" fillId="5" borderId="34" xfId="0" applyFont="1" applyFill="1" applyBorder="1" applyAlignment="1">
      <alignment horizontal="center"/>
    </xf>
    <xf numFmtId="164" fontId="20" fillId="5" borderId="0" xfId="0" applyNumberFormat="1" applyFont="1" applyFill="1" applyBorder="1" applyAlignment="1">
      <alignment horizontal="center"/>
    </xf>
    <xf numFmtId="164" fontId="20" fillId="5" borderId="31" xfId="0" applyNumberFormat="1" applyFont="1" applyFill="1" applyBorder="1" applyAlignment="1">
      <alignment horizontal="center"/>
    </xf>
    <xf numFmtId="164" fontId="20" fillId="5" borderId="33" xfId="0" applyNumberFormat="1" applyFont="1" applyFill="1" applyBorder="1" applyAlignment="1">
      <alignment horizontal="center"/>
    </xf>
    <xf numFmtId="164" fontId="0" fillId="0" borderId="0" xfId="0" applyNumberFormat="1"/>
    <xf numFmtId="164" fontId="21" fillId="6" borderId="28" xfId="0" applyNumberFormat="1" applyFont="1" applyFill="1" applyBorder="1" applyAlignment="1">
      <alignment horizontal="center"/>
    </xf>
    <xf numFmtId="164" fontId="21" fillId="6" borderId="29" xfId="0" applyNumberFormat="1" applyFont="1" applyFill="1" applyBorder="1" applyAlignment="1">
      <alignment horizontal="center"/>
    </xf>
    <xf numFmtId="164" fontId="21" fillId="6" borderId="8" xfId="0" applyNumberFormat="1" applyFont="1" applyFill="1" applyBorder="1" applyAlignment="1">
      <alignment horizontal="center"/>
    </xf>
    <xf numFmtId="164" fontId="21" fillId="6" borderId="36" xfId="0" applyNumberFormat="1" applyFont="1" applyFill="1" applyBorder="1" applyAlignment="1">
      <alignment horizontal="center"/>
    </xf>
    <xf numFmtId="164" fontId="10" fillId="5" borderId="0" xfId="0" applyNumberFormat="1" applyFont="1" applyFill="1" applyBorder="1" applyAlignment="1">
      <alignment horizontal="center"/>
    </xf>
    <xf numFmtId="164" fontId="10" fillId="5" borderId="34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1" fillId="6" borderId="37" xfId="0" applyFont="1" applyFill="1" applyBorder="1" applyAlignment="1">
      <alignment horizontal="center"/>
    </xf>
    <xf numFmtId="0" fontId="21" fillId="6" borderId="38" xfId="0" applyFont="1" applyFill="1" applyBorder="1" applyAlignment="1">
      <alignment horizontal="center"/>
    </xf>
    <xf numFmtId="0" fontId="21" fillId="6" borderId="39" xfId="0" applyFont="1" applyFill="1" applyBorder="1" applyAlignment="1">
      <alignment horizontal="center"/>
    </xf>
    <xf numFmtId="0" fontId="21" fillId="6" borderId="42" xfId="0" applyFont="1" applyFill="1" applyBorder="1" applyAlignment="1">
      <alignment horizontal="center"/>
    </xf>
    <xf numFmtId="0" fontId="20" fillId="5" borderId="40" xfId="0" applyFont="1" applyFill="1" applyBorder="1" applyAlignment="1">
      <alignment horizontal="center"/>
    </xf>
    <xf numFmtId="0" fontId="20" fillId="5" borderId="41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3" fillId="0" borderId="0" xfId="0" applyFont="1" applyAlignment="1">
      <alignment horizontal="center" readingOrder="1"/>
    </xf>
    <xf numFmtId="0" fontId="18" fillId="2" borderId="10" xfId="0" applyFont="1" applyFill="1" applyBorder="1"/>
    <xf numFmtId="0" fontId="18" fillId="2" borderId="11" xfId="0" applyFont="1" applyFill="1" applyBorder="1"/>
    <xf numFmtId="0" fontId="18" fillId="2" borderId="11" xfId="0" applyFont="1" applyFill="1" applyBorder="1" applyAlignment="1">
      <alignment horizontal="center"/>
    </xf>
    <xf numFmtId="0" fontId="18" fillId="2" borderId="12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7" borderId="0" xfId="0" applyFont="1" applyFill="1"/>
    <xf numFmtId="164" fontId="4" fillId="7" borderId="0" xfId="0" applyNumberFormat="1" applyFont="1" applyFill="1" applyBorder="1" applyAlignment="1">
      <alignment horizontal="center"/>
    </xf>
    <xf numFmtId="0" fontId="4" fillId="7" borderId="0" xfId="0" applyFont="1" applyFill="1" applyBorder="1"/>
    <xf numFmtId="0" fontId="15" fillId="7" borderId="0" xfId="0" applyFont="1" applyFill="1"/>
    <xf numFmtId="0" fontId="4" fillId="7" borderId="0" xfId="0" applyFont="1" applyFill="1" applyBorder="1" applyAlignment="1">
      <alignment horizontal="center"/>
    </xf>
    <xf numFmtId="0" fontId="6" fillId="7" borderId="0" xfId="0" applyFont="1" applyFill="1" applyBorder="1" applyAlignment="1"/>
    <xf numFmtId="0" fontId="18" fillId="2" borderId="10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0" fontId="9" fillId="0" borderId="13" xfId="0" applyFont="1" applyFill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66" fontId="4" fillId="0" borderId="14" xfId="0" applyNumberFormat="1" applyFont="1" applyBorder="1" applyAlignment="1">
      <alignment horizontal="center"/>
    </xf>
    <xf numFmtId="0" fontId="14" fillId="7" borderId="0" xfId="0" applyFont="1" applyFill="1"/>
    <xf numFmtId="0" fontId="10" fillId="5" borderId="0" xfId="0" applyFont="1" applyFill="1" applyBorder="1" applyAlignment="1">
      <alignment horizontal="center"/>
    </xf>
    <xf numFmtId="0" fontId="10" fillId="5" borderId="33" xfId="0" applyFont="1" applyFill="1" applyBorder="1" applyAlignment="1">
      <alignment horizontal="center"/>
    </xf>
    <xf numFmtId="0" fontId="0" fillId="0" borderId="0" xfId="0" applyFill="1" applyBorder="1" applyAlignment="1"/>
    <xf numFmtId="0" fontId="24" fillId="0" borderId="0" xfId="0" applyFont="1" applyFill="1" applyBorder="1" applyAlignment="1">
      <alignment horizontal="centerContinuous"/>
    </xf>
    <xf numFmtId="0" fontId="24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applyBorder="1"/>
    <xf numFmtId="0" fontId="0" fillId="8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/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8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1" xfId="0" applyBorder="1"/>
    <xf numFmtId="0" fontId="0" fillId="0" borderId="8" xfId="0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8" fontId="0" fillId="0" borderId="8" xfId="0" applyNumberFormat="1" applyBorder="1" applyAlignment="1">
      <alignment horizontal="center"/>
    </xf>
    <xf numFmtId="0" fontId="0" fillId="0" borderId="1" xfId="0" applyFill="1" applyBorder="1"/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/>
    <xf numFmtId="0" fontId="26" fillId="0" borderId="0" xfId="0" applyFont="1"/>
    <xf numFmtId="168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0" fillId="5" borderId="30" xfId="0" applyFont="1" applyFill="1" applyBorder="1" applyAlignment="1">
      <alignment horizontal="center"/>
    </xf>
    <xf numFmtId="0" fontId="20" fillId="5" borderId="0" xfId="0" applyFont="1" applyFill="1" applyBorder="1" applyAlignment="1">
      <alignment horizontal="center"/>
    </xf>
    <xf numFmtId="0" fontId="20" fillId="5" borderId="3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4" fillId="0" borderId="38" xfId="0" applyFont="1" applyFill="1" applyBorder="1" applyAlignment="1">
      <alignment horizontal="center"/>
    </xf>
    <xf numFmtId="164" fontId="24" fillId="0" borderId="38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33" xfId="0" applyNumberFormat="1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27" fillId="6" borderId="35" xfId="0" applyFont="1" applyFill="1" applyBorder="1" applyAlignment="1">
      <alignment horizontal="center"/>
    </xf>
    <xf numFmtId="0" fontId="27" fillId="6" borderId="8" xfId="0" applyFont="1" applyFill="1" applyBorder="1" applyAlignment="1">
      <alignment horizontal="center"/>
    </xf>
    <xf numFmtId="0" fontId="27" fillId="6" borderId="36" xfId="0" applyFont="1" applyFill="1" applyBorder="1" applyAlignment="1">
      <alignment horizontal="center"/>
    </xf>
    <xf numFmtId="0" fontId="27" fillId="6" borderId="37" xfId="0" applyFont="1" applyFill="1" applyBorder="1" applyAlignment="1">
      <alignment horizontal="center"/>
    </xf>
    <xf numFmtId="0" fontId="27" fillId="6" borderId="38" xfId="0" applyFont="1" applyFill="1" applyBorder="1" applyAlignment="1">
      <alignment horizontal="center"/>
    </xf>
    <xf numFmtId="0" fontId="27" fillId="6" borderId="39" xfId="0" applyFont="1" applyFill="1" applyBorder="1" applyAlignment="1">
      <alignment horizontal="center"/>
    </xf>
    <xf numFmtId="164" fontId="20" fillId="5" borderId="32" xfId="0" applyNumberFormat="1" applyFont="1" applyFill="1" applyBorder="1" applyAlignment="1">
      <alignment horizontal="center"/>
    </xf>
    <xf numFmtId="164" fontId="20" fillId="5" borderId="34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8" fillId="6" borderId="39" xfId="0" applyFont="1" applyFill="1" applyBorder="1" applyAlignment="1">
      <alignment horizontal="center"/>
    </xf>
    <xf numFmtId="165" fontId="20" fillId="5" borderId="34" xfId="0" applyNumberFormat="1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/>
    </xf>
    <xf numFmtId="0" fontId="6" fillId="8" borderId="10" xfId="0" applyFont="1" applyFill="1" applyBorder="1" applyAlignment="1">
      <alignment horizontal="center"/>
    </xf>
    <xf numFmtId="0" fontId="6" fillId="8" borderId="11" xfId="0" applyFont="1" applyFill="1" applyBorder="1" applyAlignment="1">
      <alignment horizontal="center"/>
    </xf>
    <xf numFmtId="0" fontId="6" fillId="8" borderId="12" xfId="0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21" fillId="6" borderId="27" xfId="0" applyFont="1" applyFill="1" applyBorder="1" applyAlignment="1">
      <alignment horizontal="center"/>
    </xf>
    <xf numFmtId="0" fontId="21" fillId="6" borderId="28" xfId="0" applyFont="1" applyFill="1" applyBorder="1" applyAlignment="1">
      <alignment horizontal="center"/>
    </xf>
    <xf numFmtId="0" fontId="21" fillId="6" borderId="29" xfId="0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14" fillId="7" borderId="0" xfId="0" applyFont="1" applyFill="1" applyAlignment="1">
      <alignment horizontal="left"/>
    </xf>
    <xf numFmtId="0" fontId="4" fillId="7" borderId="11" xfId="0" applyFont="1" applyFill="1" applyBorder="1" applyAlignment="1">
      <alignment horizontal="center"/>
    </xf>
    <xf numFmtId="166" fontId="4" fillId="7" borderId="10" xfId="0" applyNumberFormat="1" applyFont="1" applyFill="1" applyBorder="1" applyAlignment="1">
      <alignment horizontal="center"/>
    </xf>
    <xf numFmtId="166" fontId="4" fillId="7" borderId="12" xfId="0" applyNumberFormat="1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27" fillId="6" borderId="27" xfId="0" applyFont="1" applyFill="1" applyBorder="1" applyAlignment="1">
      <alignment horizontal="center"/>
    </xf>
    <xf numFmtId="0" fontId="27" fillId="6" borderId="28" xfId="0" applyFont="1" applyFill="1" applyBorder="1" applyAlignment="1">
      <alignment horizontal="center"/>
    </xf>
    <xf numFmtId="0" fontId="27" fillId="6" borderId="29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20" fillId="5" borderId="30" xfId="0" applyFont="1" applyFill="1" applyBorder="1" applyAlignment="1">
      <alignment horizontal="center"/>
    </xf>
    <xf numFmtId="0" fontId="20" fillId="5" borderId="31" xfId="0" applyFont="1" applyFill="1" applyBorder="1" applyAlignment="1">
      <alignment horizontal="center"/>
    </xf>
    <xf numFmtId="0" fontId="20" fillId="5" borderId="32" xfId="0" applyFont="1" applyFill="1" applyBorder="1" applyAlignment="1">
      <alignment horizontal="center"/>
    </xf>
    <xf numFmtId="0" fontId="20" fillId="5" borderId="34" xfId="0" applyFont="1" applyFill="1" applyBorder="1" applyAlignment="1">
      <alignment horizontal="center"/>
    </xf>
    <xf numFmtId="0" fontId="28" fillId="6" borderId="47" xfId="0" applyFont="1" applyFill="1" applyBorder="1" applyAlignment="1">
      <alignment horizontal="center"/>
    </xf>
    <xf numFmtId="0" fontId="28" fillId="6" borderId="48" xfId="0" applyFont="1" applyFill="1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4">
    <dxf>
      <font>
        <color rgb="FF00B050"/>
      </font>
    </dxf>
    <dxf>
      <font>
        <condense val="0"/>
        <extend val="0"/>
        <color rgb="FF9C0006"/>
      </font>
    </dxf>
    <dxf>
      <font>
        <color rgb="FF00B050"/>
      </font>
    </dxf>
    <dxf>
      <font>
        <condense val="0"/>
        <extend val="0"/>
        <color rgb="FF9C0006"/>
      </font>
    </dxf>
  </dxfs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/>
    <c:plotArea>
      <c:layout/>
      <c:scatterChart>
        <c:scatterStyle val="lineMarker"/>
        <c:ser>
          <c:idx val="0"/>
          <c:order val="0"/>
          <c:tx>
            <c:strRef>
              <c:f>'Ex02'!$C$4:$D$4</c:f>
              <c:strCache>
                <c:ptCount val="1"/>
                <c:pt idx="0">
                  <c:v>RENDA SEMANAL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-3.8863976083707091E-2"/>
                  <c:y val="-5.8737151248164463E-2"/>
                </c:manualLayout>
              </c:layout>
              <c:showVal val="1"/>
            </c:dLbl>
            <c:dLbl>
              <c:idx val="1"/>
              <c:layout>
                <c:manualLayout>
                  <c:x val="-6.2780269058296284E-2"/>
                  <c:y val="-7.0484581497797391E-2"/>
                </c:manualLayout>
              </c:layout>
              <c:showVal val="1"/>
            </c:dLbl>
            <c:dLbl>
              <c:idx val="2"/>
              <c:layout>
                <c:manualLayout>
                  <c:x val="-4.4843049327354272E-2"/>
                  <c:y val="-5.2863436123348449E-2"/>
                </c:manualLayout>
              </c:layout>
              <c:showVal val="1"/>
            </c:dLbl>
            <c:dLbl>
              <c:idx val="3"/>
              <c:layout>
                <c:manualLayout>
                  <c:x val="-4.1853512705530664E-2"/>
                  <c:y val="4.6989720998531735E-2"/>
                </c:manualLayout>
              </c:layout>
              <c:showVal val="1"/>
            </c:dLbl>
            <c:dLbl>
              <c:idx val="4"/>
              <c:layout>
                <c:manualLayout>
                  <c:x val="-4.4843049327354147E-2"/>
                  <c:y val="4.6989720998531735E-2"/>
                </c:manualLayout>
              </c:layout>
              <c:showVal val="1"/>
            </c:dLbl>
            <c:showVal val="1"/>
          </c:dLbls>
          <c:xVal>
            <c:numRef>
              <c:f>'Ex02'!$C$6:$C$10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20</c:v>
                </c:pt>
                <c:pt idx="4">
                  <c:v>35</c:v>
                </c:pt>
              </c:numCache>
            </c:numRef>
          </c:xVal>
          <c:yVal>
            <c:numRef>
              <c:f>'Ex02'!$D$6:$D$10</c:f>
              <c:numCache>
                <c:formatCode>General</c:formatCode>
                <c:ptCount val="5"/>
                <c:pt idx="0">
                  <c:v>93</c:v>
                </c:pt>
                <c:pt idx="1">
                  <c:v>171</c:v>
                </c:pt>
                <c:pt idx="2">
                  <c:v>204</c:v>
                </c:pt>
                <c:pt idx="3">
                  <c:v>156</c:v>
                </c:pt>
                <c:pt idx="4">
                  <c:v>261</c:v>
                </c:pt>
              </c:numCache>
            </c:numRef>
          </c:yVal>
        </c:ser>
        <c:axId val="233766272"/>
        <c:axId val="233940096"/>
      </c:scatterChart>
      <c:valAx>
        <c:axId val="233766272"/>
        <c:scaling>
          <c:orientation val="minMax"/>
        </c:scaling>
        <c:axPos val="b"/>
        <c:numFmt formatCode="General" sourceLinked="1"/>
        <c:tickLblPos val="nextTo"/>
        <c:crossAx val="233940096"/>
        <c:crosses val="autoZero"/>
        <c:crossBetween val="midCat"/>
      </c:valAx>
      <c:valAx>
        <c:axId val="233940096"/>
        <c:scaling>
          <c:orientation val="minMax"/>
        </c:scaling>
        <c:axPos val="l"/>
        <c:numFmt formatCode="General" sourceLinked="1"/>
        <c:tickLblPos val="nextTo"/>
        <c:crossAx val="233766272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113" footer="0.3149606200000011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/>
    <c:plotArea>
      <c:layout/>
      <c:scatterChart>
        <c:scatterStyle val="lineMarker"/>
        <c:ser>
          <c:idx val="0"/>
          <c:order val="0"/>
          <c:tx>
            <c:strRef>
              <c:f>Ex04_Cheyenne!$B$4</c:f>
              <c:strCache>
                <c:ptCount val="1"/>
                <c:pt idx="0">
                  <c:v>Aeronave  Piper Cheyenne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9.766946631671071E-2"/>
                  <c:y val="0.12927055993000824"/>
                </c:manualLayout>
              </c:layout>
              <c:numFmt formatCode="General" sourceLinked="0"/>
            </c:trendlineLbl>
          </c:trendline>
          <c:xVal>
            <c:numRef>
              <c:f>Ex04_Cheyenne!$B$6:$B$10</c:f>
              <c:numCache>
                <c:formatCode>General</c:formatCode>
                <c:ptCount val="5"/>
                <c:pt idx="0">
                  <c:v>2.2999999999999998</c:v>
                </c:pt>
                <c:pt idx="1">
                  <c:v>4.2</c:v>
                </c:pt>
                <c:pt idx="2">
                  <c:v>3.6</c:v>
                </c:pt>
                <c:pt idx="3">
                  <c:v>4.7</c:v>
                </c:pt>
                <c:pt idx="4">
                  <c:v>4.9000000000000004</c:v>
                </c:pt>
              </c:numCache>
            </c:numRef>
          </c:xVal>
          <c:yVal>
            <c:numRef>
              <c:f>Ex04_Cheyenne!$C$6:$C$10</c:f>
              <c:numCache>
                <c:formatCode>General</c:formatCode>
                <c:ptCount val="5"/>
                <c:pt idx="0">
                  <c:v>145</c:v>
                </c:pt>
                <c:pt idx="1">
                  <c:v>258</c:v>
                </c:pt>
                <c:pt idx="2">
                  <c:v>219</c:v>
                </c:pt>
                <c:pt idx="3">
                  <c:v>276</c:v>
                </c:pt>
                <c:pt idx="4">
                  <c:v>283</c:v>
                </c:pt>
              </c:numCache>
            </c:numRef>
          </c:yVal>
        </c:ser>
        <c:axId val="234597376"/>
        <c:axId val="234615552"/>
      </c:scatterChart>
      <c:valAx>
        <c:axId val="234597376"/>
        <c:scaling>
          <c:orientation val="minMax"/>
          <c:min val="2"/>
        </c:scaling>
        <c:axPos val="b"/>
        <c:numFmt formatCode="General" sourceLinked="1"/>
        <c:tickLblPos val="nextTo"/>
        <c:crossAx val="234615552"/>
        <c:crosses val="autoZero"/>
        <c:crossBetween val="midCat"/>
      </c:valAx>
      <c:valAx>
        <c:axId val="234615552"/>
        <c:scaling>
          <c:orientation val="minMax"/>
          <c:min val="100"/>
        </c:scaling>
        <c:axPos val="l"/>
        <c:numFmt formatCode="General" sourceLinked="1"/>
        <c:tickLblPos val="nextTo"/>
        <c:crossAx val="234597376"/>
        <c:crosses val="autoZero"/>
        <c:crossBetween val="midCat"/>
      </c:valAx>
      <c:spPr>
        <a:noFill/>
        <a:ln w="25400">
          <a:noFill/>
        </a:ln>
      </c:spPr>
    </c:plotArea>
    <c:plotVisOnly val="1"/>
  </c:chart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/>
    <c:plotArea>
      <c:layout/>
      <c:scatterChart>
        <c:scatterStyle val="lineMarker"/>
        <c:ser>
          <c:idx val="0"/>
          <c:order val="0"/>
          <c:tx>
            <c:strRef>
              <c:f>Ex05_Ex12.10!$B$2</c:f>
              <c:strCache>
                <c:ptCount val="1"/>
                <c:pt idx="0">
                  <c:v>Exercício 12.10 - Pag - 100 Companhias Globais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21208223972003551"/>
                  <c:y val="0.16436424613590017"/>
                </c:manualLayout>
              </c:layout>
              <c:numFmt formatCode="General" sourceLinked="0"/>
            </c:trendlineLbl>
          </c:trendline>
          <c:xVal>
            <c:numRef>
              <c:f>Ex05_Ex12.10!$E$5:$E$104</c:f>
              <c:numCache>
                <c:formatCode>General</c:formatCode>
                <c:ptCount val="100"/>
                <c:pt idx="0">
                  <c:v>23016</c:v>
                </c:pt>
                <c:pt idx="1">
                  <c:v>28944</c:v>
                </c:pt>
                <c:pt idx="2">
                  <c:v>41078</c:v>
                </c:pt>
                <c:pt idx="3">
                  <c:v>35737</c:v>
                </c:pt>
                <c:pt idx="4">
                  <c:v>29311</c:v>
                </c:pt>
                <c:pt idx="5">
                  <c:v>30142</c:v>
                </c:pt>
                <c:pt idx="6">
                  <c:v>60706</c:v>
                </c:pt>
                <c:pt idx="7">
                  <c:v>70272</c:v>
                </c:pt>
                <c:pt idx="8">
                  <c:v>61768</c:v>
                </c:pt>
                <c:pt idx="9">
                  <c:v>27120</c:v>
                </c:pt>
                <c:pt idx="10">
                  <c:v>46690</c:v>
                </c:pt>
                <c:pt idx="11">
                  <c:v>21844</c:v>
                </c:pt>
                <c:pt idx="12">
                  <c:v>26565</c:v>
                </c:pt>
                <c:pt idx="13">
                  <c:v>30319</c:v>
                </c:pt>
                <c:pt idx="14">
                  <c:v>21384</c:v>
                </c:pt>
                <c:pt idx="15">
                  <c:v>22374</c:v>
                </c:pt>
                <c:pt idx="16">
                  <c:v>44255</c:v>
                </c:pt>
                <c:pt idx="17">
                  <c:v>39793</c:v>
                </c:pt>
                <c:pt idx="18">
                  <c:v>50881</c:v>
                </c:pt>
                <c:pt idx="19">
                  <c:v>52508</c:v>
                </c:pt>
                <c:pt idx="20">
                  <c:v>178721</c:v>
                </c:pt>
                <c:pt idx="21">
                  <c:v>64683</c:v>
                </c:pt>
                <c:pt idx="22">
                  <c:v>101490</c:v>
                </c:pt>
                <c:pt idx="23">
                  <c:v>15532</c:v>
                </c:pt>
                <c:pt idx="24">
                  <c:v>39167</c:v>
                </c:pt>
                <c:pt idx="25">
                  <c:v>19005</c:v>
                </c:pt>
                <c:pt idx="26">
                  <c:v>93101</c:v>
                </c:pt>
                <c:pt idx="27">
                  <c:v>19983</c:v>
                </c:pt>
                <c:pt idx="28">
                  <c:v>75549</c:v>
                </c:pt>
                <c:pt idx="29">
                  <c:v>42817</c:v>
                </c:pt>
                <c:pt idx="30">
                  <c:v>17706</c:v>
                </c:pt>
                <c:pt idx="31">
                  <c:v>140777</c:v>
                </c:pt>
                <c:pt idx="32">
                  <c:v>19561</c:v>
                </c:pt>
                <c:pt idx="33">
                  <c:v>33999</c:v>
                </c:pt>
                <c:pt idx="34">
                  <c:v>24872</c:v>
                </c:pt>
                <c:pt idx="35">
                  <c:v>28212</c:v>
                </c:pt>
                <c:pt idx="36">
                  <c:v>46117</c:v>
                </c:pt>
                <c:pt idx="37">
                  <c:v>195465</c:v>
                </c:pt>
                <c:pt idx="38">
                  <c:v>53128</c:v>
                </c:pt>
                <c:pt idx="39">
                  <c:v>14521</c:v>
                </c:pt>
                <c:pt idx="40">
                  <c:v>164013</c:v>
                </c:pt>
                <c:pt idx="41">
                  <c:v>44174</c:v>
                </c:pt>
                <c:pt idx="42">
                  <c:v>36773</c:v>
                </c:pt>
                <c:pt idx="43">
                  <c:v>130483</c:v>
                </c:pt>
                <c:pt idx="44">
                  <c:v>189100</c:v>
                </c:pt>
                <c:pt idx="45">
                  <c:v>31845</c:v>
                </c:pt>
                <c:pt idx="46">
                  <c:v>23248</c:v>
                </c:pt>
                <c:pt idx="47">
                  <c:v>30234</c:v>
                </c:pt>
                <c:pt idx="48">
                  <c:v>59069</c:v>
                </c:pt>
                <c:pt idx="49">
                  <c:v>65352</c:v>
                </c:pt>
                <c:pt idx="50">
                  <c:v>41151</c:v>
                </c:pt>
                <c:pt idx="51">
                  <c:v>87754</c:v>
                </c:pt>
                <c:pt idx="52">
                  <c:v>26734</c:v>
                </c:pt>
                <c:pt idx="53">
                  <c:v>83221</c:v>
                </c:pt>
                <c:pt idx="54">
                  <c:v>37376</c:v>
                </c:pt>
                <c:pt idx="55">
                  <c:v>43869</c:v>
                </c:pt>
                <c:pt idx="56">
                  <c:v>22370</c:v>
                </c:pt>
                <c:pt idx="57">
                  <c:v>53009</c:v>
                </c:pt>
                <c:pt idx="58">
                  <c:v>26877</c:v>
                </c:pt>
                <c:pt idx="59">
                  <c:v>33549</c:v>
                </c:pt>
                <c:pt idx="60">
                  <c:v>31375</c:v>
                </c:pt>
                <c:pt idx="61">
                  <c:v>31844</c:v>
                </c:pt>
                <c:pt idx="62">
                  <c:v>40708</c:v>
                </c:pt>
                <c:pt idx="63">
                  <c:v>11458</c:v>
                </c:pt>
                <c:pt idx="64">
                  <c:v>57204</c:v>
                </c:pt>
                <c:pt idx="65">
                  <c:v>89550</c:v>
                </c:pt>
                <c:pt idx="66">
                  <c:v>55982</c:v>
                </c:pt>
                <c:pt idx="67">
                  <c:v>28249</c:v>
                </c:pt>
                <c:pt idx="68">
                  <c:v>20795</c:v>
                </c:pt>
                <c:pt idx="69">
                  <c:v>29531</c:v>
                </c:pt>
                <c:pt idx="70">
                  <c:v>51231</c:v>
                </c:pt>
                <c:pt idx="71">
                  <c:v>33151</c:v>
                </c:pt>
                <c:pt idx="72">
                  <c:v>42626</c:v>
                </c:pt>
                <c:pt idx="73">
                  <c:v>29136</c:v>
                </c:pt>
                <c:pt idx="74">
                  <c:v>14775</c:v>
                </c:pt>
                <c:pt idx="75">
                  <c:v>35267</c:v>
                </c:pt>
                <c:pt idx="76">
                  <c:v>179431</c:v>
                </c:pt>
                <c:pt idx="77">
                  <c:v>40927</c:v>
                </c:pt>
                <c:pt idx="78">
                  <c:v>47613</c:v>
                </c:pt>
                <c:pt idx="79">
                  <c:v>77013</c:v>
                </c:pt>
                <c:pt idx="80">
                  <c:v>31827</c:v>
                </c:pt>
                <c:pt idx="81">
                  <c:v>61270</c:v>
                </c:pt>
                <c:pt idx="82">
                  <c:v>44645</c:v>
                </c:pt>
                <c:pt idx="83">
                  <c:v>40328</c:v>
                </c:pt>
                <c:pt idx="84">
                  <c:v>96504</c:v>
                </c:pt>
                <c:pt idx="85">
                  <c:v>131616</c:v>
                </c:pt>
                <c:pt idx="86">
                  <c:v>43371</c:v>
                </c:pt>
                <c:pt idx="87">
                  <c:v>14979</c:v>
                </c:pt>
                <c:pt idx="88">
                  <c:v>45428</c:v>
                </c:pt>
                <c:pt idx="89">
                  <c:v>31708</c:v>
                </c:pt>
                <c:pt idx="90">
                  <c:v>28540</c:v>
                </c:pt>
                <c:pt idx="91">
                  <c:v>15592</c:v>
                </c:pt>
                <c:pt idx="92">
                  <c:v>67529</c:v>
                </c:pt>
                <c:pt idx="93">
                  <c:v>24984</c:v>
                </c:pt>
                <c:pt idx="94">
                  <c:v>84707</c:v>
                </c:pt>
                <c:pt idx="95">
                  <c:v>23455</c:v>
                </c:pt>
                <c:pt idx="96">
                  <c:v>246282</c:v>
                </c:pt>
                <c:pt idx="97">
                  <c:v>26255</c:v>
                </c:pt>
                <c:pt idx="98">
                  <c:v>19045</c:v>
                </c:pt>
                <c:pt idx="99">
                  <c:v>28879</c:v>
                </c:pt>
              </c:numCache>
            </c:numRef>
          </c:xVal>
          <c:yVal>
            <c:numRef>
              <c:f>Ex05_Ex12.10!$F$5:$F$104</c:f>
              <c:numCache>
                <c:formatCode>General</c:formatCode>
                <c:ptCount val="100"/>
                <c:pt idx="0">
                  <c:v>2745</c:v>
                </c:pt>
                <c:pt idx="1">
                  <c:v>4151</c:v>
                </c:pt>
                <c:pt idx="2">
                  <c:v>8301</c:v>
                </c:pt>
                <c:pt idx="3">
                  <c:v>2077</c:v>
                </c:pt>
                <c:pt idx="4">
                  <c:v>1456</c:v>
                </c:pt>
                <c:pt idx="5">
                  <c:v>1714</c:v>
                </c:pt>
                <c:pt idx="6">
                  <c:v>10923</c:v>
                </c:pt>
                <c:pt idx="7">
                  <c:v>5493</c:v>
                </c:pt>
                <c:pt idx="8">
                  <c:v>893</c:v>
                </c:pt>
                <c:pt idx="9">
                  <c:v>2115</c:v>
                </c:pt>
                <c:pt idx="10">
                  <c:v>9494</c:v>
                </c:pt>
                <c:pt idx="11">
                  <c:v>3326</c:v>
                </c:pt>
                <c:pt idx="12">
                  <c:v>3348</c:v>
                </c:pt>
                <c:pt idx="13">
                  <c:v>1416</c:v>
                </c:pt>
                <c:pt idx="14">
                  <c:v>1618</c:v>
                </c:pt>
                <c:pt idx="15">
                  <c:v>2468</c:v>
                </c:pt>
                <c:pt idx="16">
                  <c:v>5100</c:v>
                </c:pt>
                <c:pt idx="17">
                  <c:v>1901</c:v>
                </c:pt>
                <c:pt idx="18">
                  <c:v>3101</c:v>
                </c:pt>
                <c:pt idx="19">
                  <c:v>1263</c:v>
                </c:pt>
                <c:pt idx="20">
                  <c:v>6845</c:v>
                </c:pt>
                <c:pt idx="21">
                  <c:v>1293</c:v>
                </c:pt>
                <c:pt idx="22">
                  <c:v>2523</c:v>
                </c:pt>
                <c:pt idx="23">
                  <c:v>3956</c:v>
                </c:pt>
                <c:pt idx="24">
                  <c:v>1943</c:v>
                </c:pt>
                <c:pt idx="25">
                  <c:v>3368</c:v>
                </c:pt>
                <c:pt idx="26">
                  <c:v>14536</c:v>
                </c:pt>
                <c:pt idx="27">
                  <c:v>4079</c:v>
                </c:pt>
                <c:pt idx="28">
                  <c:v>1115</c:v>
                </c:pt>
                <c:pt idx="29">
                  <c:v>1001</c:v>
                </c:pt>
                <c:pt idx="30">
                  <c:v>803</c:v>
                </c:pt>
                <c:pt idx="31">
                  <c:v>4590</c:v>
                </c:pt>
                <c:pt idx="32">
                  <c:v>1223</c:v>
                </c:pt>
                <c:pt idx="33">
                  <c:v>2434</c:v>
                </c:pt>
                <c:pt idx="34">
                  <c:v>1926</c:v>
                </c:pt>
                <c:pt idx="35">
                  <c:v>1890</c:v>
                </c:pt>
                <c:pt idx="36">
                  <c:v>4323</c:v>
                </c:pt>
                <c:pt idx="37">
                  <c:v>15860</c:v>
                </c:pt>
                <c:pt idx="38">
                  <c:v>5351</c:v>
                </c:pt>
                <c:pt idx="39">
                  <c:v>1020</c:v>
                </c:pt>
                <c:pt idx="40">
                  <c:v>1010</c:v>
                </c:pt>
                <c:pt idx="41">
                  <c:v>501</c:v>
                </c:pt>
                <c:pt idx="42">
                  <c:v>5764</c:v>
                </c:pt>
                <c:pt idx="43">
                  <c:v>14829</c:v>
                </c:pt>
                <c:pt idx="44">
                  <c:v>2991</c:v>
                </c:pt>
                <c:pt idx="45">
                  <c:v>5907</c:v>
                </c:pt>
                <c:pt idx="46">
                  <c:v>2252</c:v>
                </c:pt>
                <c:pt idx="47">
                  <c:v>2876</c:v>
                </c:pt>
                <c:pt idx="48">
                  <c:v>3715</c:v>
                </c:pt>
                <c:pt idx="49">
                  <c:v>3498</c:v>
                </c:pt>
                <c:pt idx="50">
                  <c:v>6239</c:v>
                </c:pt>
                <c:pt idx="51">
                  <c:v>4235</c:v>
                </c:pt>
                <c:pt idx="52">
                  <c:v>3096</c:v>
                </c:pt>
                <c:pt idx="53">
                  <c:v>3771</c:v>
                </c:pt>
                <c:pt idx="54">
                  <c:v>6833</c:v>
                </c:pt>
                <c:pt idx="55">
                  <c:v>2081</c:v>
                </c:pt>
                <c:pt idx="56">
                  <c:v>2674</c:v>
                </c:pt>
                <c:pt idx="57">
                  <c:v>7235</c:v>
                </c:pt>
                <c:pt idx="58">
                  <c:v>2741</c:v>
                </c:pt>
                <c:pt idx="59">
                  <c:v>1643</c:v>
                </c:pt>
                <c:pt idx="60">
                  <c:v>9597</c:v>
                </c:pt>
                <c:pt idx="61">
                  <c:v>3132</c:v>
                </c:pt>
                <c:pt idx="62">
                  <c:v>1017</c:v>
                </c:pt>
                <c:pt idx="63">
                  <c:v>1796</c:v>
                </c:pt>
                <c:pt idx="64">
                  <c:v>4853</c:v>
                </c:pt>
                <c:pt idx="65">
                  <c:v>2101</c:v>
                </c:pt>
                <c:pt idx="66">
                  <c:v>4059</c:v>
                </c:pt>
                <c:pt idx="67">
                  <c:v>3182</c:v>
                </c:pt>
                <c:pt idx="68">
                  <c:v>4692</c:v>
                </c:pt>
                <c:pt idx="69">
                  <c:v>5668</c:v>
                </c:pt>
                <c:pt idx="70">
                  <c:v>1591</c:v>
                </c:pt>
                <c:pt idx="71">
                  <c:v>11858</c:v>
                </c:pt>
                <c:pt idx="72">
                  <c:v>5141</c:v>
                </c:pt>
                <c:pt idx="73">
                  <c:v>1837</c:v>
                </c:pt>
                <c:pt idx="74">
                  <c:v>1842</c:v>
                </c:pt>
                <c:pt idx="75">
                  <c:v>4615</c:v>
                </c:pt>
                <c:pt idx="76">
                  <c:v>9419</c:v>
                </c:pt>
                <c:pt idx="77">
                  <c:v>988</c:v>
                </c:pt>
                <c:pt idx="78">
                  <c:v>5637</c:v>
                </c:pt>
                <c:pt idx="79">
                  <c:v>2381</c:v>
                </c:pt>
                <c:pt idx="80">
                  <c:v>1315</c:v>
                </c:pt>
                <c:pt idx="81">
                  <c:v>947</c:v>
                </c:pt>
                <c:pt idx="82">
                  <c:v>1658</c:v>
                </c:pt>
                <c:pt idx="83">
                  <c:v>1354</c:v>
                </c:pt>
                <c:pt idx="84">
                  <c:v>5591</c:v>
                </c:pt>
                <c:pt idx="85">
                  <c:v>7745</c:v>
                </c:pt>
                <c:pt idx="86">
                  <c:v>2268</c:v>
                </c:pt>
                <c:pt idx="87">
                  <c:v>1695</c:v>
                </c:pt>
                <c:pt idx="88">
                  <c:v>2004</c:v>
                </c:pt>
                <c:pt idx="89">
                  <c:v>3302</c:v>
                </c:pt>
                <c:pt idx="90">
                  <c:v>2271</c:v>
                </c:pt>
                <c:pt idx="91">
                  <c:v>3444</c:v>
                </c:pt>
                <c:pt idx="92">
                  <c:v>6338</c:v>
                </c:pt>
                <c:pt idx="93">
                  <c:v>2301</c:v>
                </c:pt>
                <c:pt idx="94">
                  <c:v>2432</c:v>
                </c:pt>
                <c:pt idx="95">
                  <c:v>3693</c:v>
                </c:pt>
                <c:pt idx="96">
                  <c:v>8248</c:v>
                </c:pt>
                <c:pt idx="97">
                  <c:v>1024</c:v>
                </c:pt>
                <c:pt idx="98">
                  <c:v>3949</c:v>
                </c:pt>
                <c:pt idx="99">
                  <c:v>5823</c:v>
                </c:pt>
              </c:numCache>
            </c:numRef>
          </c:yVal>
        </c:ser>
        <c:axId val="234665856"/>
        <c:axId val="234667392"/>
      </c:scatterChart>
      <c:valAx>
        <c:axId val="234665856"/>
        <c:scaling>
          <c:orientation val="minMax"/>
        </c:scaling>
        <c:axPos val="b"/>
        <c:numFmt formatCode="General" sourceLinked="1"/>
        <c:tickLblPos val="nextTo"/>
        <c:crossAx val="234667392"/>
        <c:crosses val="autoZero"/>
        <c:crossBetween val="midCat"/>
      </c:valAx>
      <c:valAx>
        <c:axId val="234667392"/>
        <c:scaling>
          <c:orientation val="minMax"/>
        </c:scaling>
        <c:axPos val="l"/>
        <c:numFmt formatCode="General" sourceLinked="1"/>
        <c:tickLblPos val="nextTo"/>
        <c:crossAx val="234665856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/>
    <c:plotArea>
      <c:layout/>
      <c:scatterChart>
        <c:scatterStyle val="lineMarker"/>
        <c:ser>
          <c:idx val="0"/>
          <c:order val="0"/>
          <c:tx>
            <c:strRef>
              <c:f>Ex06_EX12.16!$C$4:$D$4</c:f>
              <c:strCache>
                <c:ptCount val="1"/>
                <c:pt idx="0">
                  <c:v>RENDA SEMANAL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</c:marker>
          <c:dLbls>
            <c:dLbl>
              <c:idx val="0"/>
              <c:layout>
                <c:manualLayout>
                  <c:x val="-3.8863976083707091E-2"/>
                  <c:y val="-5.8737151248164463E-2"/>
                </c:manualLayout>
              </c:layout>
              <c:showVal val="1"/>
            </c:dLbl>
            <c:dLbl>
              <c:idx val="1"/>
              <c:layout>
                <c:manualLayout>
                  <c:x val="-6.2780269058296326E-2"/>
                  <c:y val="-7.0484581497797391E-2"/>
                </c:manualLayout>
              </c:layout>
              <c:showVal val="1"/>
            </c:dLbl>
            <c:dLbl>
              <c:idx val="2"/>
              <c:layout>
                <c:manualLayout>
                  <c:x val="-4.4843049327354272E-2"/>
                  <c:y val="-5.2863436123348505E-2"/>
                </c:manualLayout>
              </c:layout>
              <c:showVal val="1"/>
            </c:dLbl>
            <c:dLbl>
              <c:idx val="3"/>
              <c:layout>
                <c:manualLayout>
                  <c:x val="-4.1853512705530664E-2"/>
                  <c:y val="4.6989720998531763E-2"/>
                </c:manualLayout>
              </c:layout>
              <c:showVal val="1"/>
            </c:dLbl>
            <c:dLbl>
              <c:idx val="4"/>
              <c:layout>
                <c:manualLayout>
                  <c:x val="-4.4843049327354147E-2"/>
                  <c:y val="4.6989720998531763E-2"/>
                </c:manualLayout>
              </c:layout>
              <c:showVal val="1"/>
            </c:dLbl>
            <c:showVal val="1"/>
          </c:dLbls>
          <c:trendline>
            <c:trendlineType val="linear"/>
            <c:dispRSqr val="1"/>
            <c:dispEq val="1"/>
            <c:trendlineLbl>
              <c:layout>
                <c:manualLayout>
                  <c:x val="3.4716814240896607E-2"/>
                  <c:y val="0.182054613553852"/>
                </c:manualLayout>
              </c:layout>
              <c:numFmt formatCode="General" sourceLinked="0"/>
            </c:trendlineLbl>
          </c:trendline>
          <c:xVal>
            <c:numRef>
              <c:f>Ex06_EX12.16!$C$6:$C$10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20</c:v>
                </c:pt>
                <c:pt idx="4">
                  <c:v>35</c:v>
                </c:pt>
              </c:numCache>
            </c:numRef>
          </c:xVal>
          <c:yVal>
            <c:numRef>
              <c:f>Ex06_EX12.16!$D$6:$D$10</c:f>
              <c:numCache>
                <c:formatCode>General</c:formatCode>
                <c:ptCount val="5"/>
                <c:pt idx="0">
                  <c:v>93</c:v>
                </c:pt>
                <c:pt idx="1">
                  <c:v>171</c:v>
                </c:pt>
                <c:pt idx="2">
                  <c:v>204</c:v>
                </c:pt>
                <c:pt idx="3">
                  <c:v>156</c:v>
                </c:pt>
                <c:pt idx="4">
                  <c:v>261</c:v>
                </c:pt>
              </c:numCache>
            </c:numRef>
          </c:yVal>
        </c:ser>
        <c:axId val="234836352"/>
        <c:axId val="234837888"/>
      </c:scatterChart>
      <c:valAx>
        <c:axId val="234836352"/>
        <c:scaling>
          <c:orientation val="minMax"/>
        </c:scaling>
        <c:axPos val="b"/>
        <c:numFmt formatCode="General" sourceLinked="1"/>
        <c:tickLblPos val="nextTo"/>
        <c:crossAx val="234837888"/>
        <c:crosses val="autoZero"/>
        <c:crossBetween val="midCat"/>
      </c:valAx>
      <c:valAx>
        <c:axId val="234837888"/>
        <c:scaling>
          <c:orientation val="minMax"/>
        </c:scaling>
        <c:axPos val="l"/>
        <c:numFmt formatCode="General" sourceLinked="1"/>
        <c:tickLblPos val="nextTo"/>
        <c:crossAx val="234836352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136" footer="0.3149606200000013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Ex10_Minicaso!$B$4</c:f>
              <c:strCache>
                <c:ptCount val="1"/>
                <c:pt idx="0">
                  <c:v>Base Monetária e Inflação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3703740157480332"/>
                  <c:y val="-0.24566491688538941"/>
                </c:manualLayout>
              </c:layout>
              <c:numFmt formatCode="General" sourceLinked="0"/>
            </c:trendlineLbl>
          </c:trendline>
          <c:xVal>
            <c:numRef>
              <c:f>Ex10_Minicaso!$C$6:$C$46</c:f>
              <c:numCache>
                <c:formatCode>General</c:formatCode>
                <c:ptCount val="41"/>
                <c:pt idx="0">
                  <c:v>0.5</c:v>
                </c:pt>
                <c:pt idx="1">
                  <c:v>3.2</c:v>
                </c:pt>
                <c:pt idx="2">
                  <c:v>1.8</c:v>
                </c:pt>
                <c:pt idx="3">
                  <c:v>3.7</c:v>
                </c:pt>
                <c:pt idx="4">
                  <c:v>4.5999999999999996</c:v>
                </c:pt>
                <c:pt idx="5">
                  <c:v>4.7</c:v>
                </c:pt>
                <c:pt idx="6">
                  <c:v>2.5</c:v>
                </c:pt>
                <c:pt idx="7">
                  <c:v>6.6</c:v>
                </c:pt>
                <c:pt idx="8">
                  <c:v>7.7</c:v>
                </c:pt>
                <c:pt idx="9">
                  <c:v>3.3</c:v>
                </c:pt>
                <c:pt idx="10">
                  <c:v>5.0999999999999996</c:v>
                </c:pt>
                <c:pt idx="11">
                  <c:v>6.5</c:v>
                </c:pt>
                <c:pt idx="12">
                  <c:v>9.1999999999999993</c:v>
                </c:pt>
                <c:pt idx="13">
                  <c:v>5.5</c:v>
                </c:pt>
                <c:pt idx="14">
                  <c:v>4.3</c:v>
                </c:pt>
                <c:pt idx="15">
                  <c:v>4.7</c:v>
                </c:pt>
                <c:pt idx="16">
                  <c:v>6.7</c:v>
                </c:pt>
                <c:pt idx="17">
                  <c:v>8</c:v>
                </c:pt>
                <c:pt idx="18">
                  <c:v>8</c:v>
                </c:pt>
                <c:pt idx="19">
                  <c:v>6.9</c:v>
                </c:pt>
                <c:pt idx="20">
                  <c:v>7</c:v>
                </c:pt>
                <c:pt idx="21">
                  <c:v>6.9</c:v>
                </c:pt>
                <c:pt idx="22">
                  <c:v>8.6999999999999993</c:v>
                </c:pt>
                <c:pt idx="23">
                  <c:v>9.8000000000000007</c:v>
                </c:pt>
                <c:pt idx="24">
                  <c:v>5.8</c:v>
                </c:pt>
                <c:pt idx="25">
                  <c:v>12.3</c:v>
                </c:pt>
                <c:pt idx="26">
                  <c:v>16.899999999999999</c:v>
                </c:pt>
                <c:pt idx="27">
                  <c:v>3.5</c:v>
                </c:pt>
                <c:pt idx="28">
                  <c:v>4.9000000000000004</c:v>
                </c:pt>
                <c:pt idx="29">
                  <c:v>0.8</c:v>
                </c:pt>
                <c:pt idx="30">
                  <c:v>4</c:v>
                </c:pt>
                <c:pt idx="31">
                  <c:v>8.6999999999999993</c:v>
                </c:pt>
                <c:pt idx="32">
                  <c:v>14.3</c:v>
                </c:pt>
                <c:pt idx="33">
                  <c:v>10.3</c:v>
                </c:pt>
                <c:pt idx="34">
                  <c:v>1.8</c:v>
                </c:pt>
                <c:pt idx="35">
                  <c:v>-2.1</c:v>
                </c:pt>
                <c:pt idx="36">
                  <c:v>-4.0999999999999996</c:v>
                </c:pt>
                <c:pt idx="37">
                  <c:v>-0.7</c:v>
                </c:pt>
                <c:pt idx="38">
                  <c:v>2.2000000000000002</c:v>
                </c:pt>
                <c:pt idx="39">
                  <c:v>2.5</c:v>
                </c:pt>
                <c:pt idx="40">
                  <c:v>-3.3</c:v>
                </c:pt>
              </c:numCache>
            </c:numRef>
          </c:xVal>
          <c:yVal>
            <c:numRef>
              <c:f>Ex10_Minicaso!$D$6:$D$46</c:f>
              <c:numCache>
                <c:formatCode>General</c:formatCode>
                <c:ptCount val="41"/>
                <c:pt idx="0">
                  <c:v>0.7</c:v>
                </c:pt>
                <c:pt idx="1">
                  <c:v>1.3</c:v>
                </c:pt>
                <c:pt idx="2">
                  <c:v>1.6</c:v>
                </c:pt>
                <c:pt idx="3">
                  <c:v>1</c:v>
                </c:pt>
                <c:pt idx="4">
                  <c:v>1.9</c:v>
                </c:pt>
                <c:pt idx="5">
                  <c:v>3.5</c:v>
                </c:pt>
                <c:pt idx="6">
                  <c:v>3</c:v>
                </c:pt>
                <c:pt idx="7">
                  <c:v>4.7</c:v>
                </c:pt>
                <c:pt idx="8">
                  <c:v>6.2</c:v>
                </c:pt>
                <c:pt idx="9">
                  <c:v>5.6</c:v>
                </c:pt>
                <c:pt idx="10">
                  <c:v>3.3</c:v>
                </c:pt>
                <c:pt idx="11">
                  <c:v>3.4</c:v>
                </c:pt>
                <c:pt idx="12">
                  <c:v>8.6999999999999993</c:v>
                </c:pt>
                <c:pt idx="13">
                  <c:v>12.3</c:v>
                </c:pt>
                <c:pt idx="14">
                  <c:v>6.9</c:v>
                </c:pt>
                <c:pt idx="15">
                  <c:v>4.9000000000000004</c:v>
                </c:pt>
                <c:pt idx="16">
                  <c:v>6.7</c:v>
                </c:pt>
                <c:pt idx="17">
                  <c:v>9</c:v>
                </c:pt>
                <c:pt idx="18">
                  <c:v>13.3</c:v>
                </c:pt>
                <c:pt idx="19">
                  <c:v>12.5</c:v>
                </c:pt>
                <c:pt idx="20">
                  <c:v>8.9</c:v>
                </c:pt>
                <c:pt idx="21">
                  <c:v>3.8</c:v>
                </c:pt>
                <c:pt idx="22">
                  <c:v>3.8</c:v>
                </c:pt>
                <c:pt idx="23">
                  <c:v>3.9</c:v>
                </c:pt>
                <c:pt idx="24">
                  <c:v>3.8</c:v>
                </c:pt>
                <c:pt idx="25">
                  <c:v>1.1000000000000001</c:v>
                </c:pt>
                <c:pt idx="26">
                  <c:v>4.4000000000000004</c:v>
                </c:pt>
                <c:pt idx="27">
                  <c:v>4.4000000000000004</c:v>
                </c:pt>
                <c:pt idx="28">
                  <c:v>4.5999999999999996</c:v>
                </c:pt>
                <c:pt idx="29">
                  <c:v>6.1</c:v>
                </c:pt>
                <c:pt idx="30">
                  <c:v>3.1</c:v>
                </c:pt>
                <c:pt idx="31">
                  <c:v>2.9</c:v>
                </c:pt>
                <c:pt idx="32">
                  <c:v>2.7</c:v>
                </c:pt>
                <c:pt idx="33">
                  <c:v>2.7</c:v>
                </c:pt>
                <c:pt idx="34">
                  <c:v>2.5</c:v>
                </c:pt>
                <c:pt idx="35">
                  <c:v>3.3</c:v>
                </c:pt>
                <c:pt idx="36">
                  <c:v>1.7</c:v>
                </c:pt>
                <c:pt idx="37">
                  <c:v>1.6</c:v>
                </c:pt>
                <c:pt idx="38">
                  <c:v>2.7</c:v>
                </c:pt>
                <c:pt idx="39">
                  <c:v>3.4</c:v>
                </c:pt>
                <c:pt idx="40">
                  <c:v>1.6</c:v>
                </c:pt>
              </c:numCache>
            </c:numRef>
          </c:yVal>
        </c:ser>
        <c:axId val="235019264"/>
        <c:axId val="235021056"/>
      </c:scatterChart>
      <c:valAx>
        <c:axId val="235019264"/>
        <c:scaling>
          <c:orientation val="minMax"/>
        </c:scaling>
        <c:axPos val="b"/>
        <c:numFmt formatCode="General" sourceLinked="1"/>
        <c:tickLblPos val="nextTo"/>
        <c:crossAx val="235021056"/>
        <c:crosses val="autoZero"/>
        <c:crossBetween val="midCat"/>
      </c:valAx>
      <c:valAx>
        <c:axId val="235021056"/>
        <c:scaling>
          <c:orientation val="minMax"/>
        </c:scaling>
        <c:axPos val="l"/>
        <c:numFmt formatCode="General" sourceLinked="1"/>
        <c:tickLblPos val="nextTo"/>
        <c:crossAx val="235019264"/>
        <c:crosses val="autoZero"/>
        <c:crossBetween val="midCat"/>
      </c:valAx>
      <c:spPr>
        <a:noFill/>
        <a:ln w="25400">
          <a:noFill/>
        </a:ln>
      </c:spPr>
    </c:plotArea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Variável X 1 Plotagem de resíduos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EX10_Excel!$C$4:$C$44</c:f>
              <c:numCache>
                <c:formatCode>General</c:formatCode>
                <c:ptCount val="41"/>
                <c:pt idx="0">
                  <c:v>0.5</c:v>
                </c:pt>
                <c:pt idx="1">
                  <c:v>3.2</c:v>
                </c:pt>
                <c:pt idx="2">
                  <c:v>1.8</c:v>
                </c:pt>
                <c:pt idx="3">
                  <c:v>3.7</c:v>
                </c:pt>
                <c:pt idx="4">
                  <c:v>4.5999999999999996</c:v>
                </c:pt>
                <c:pt idx="5">
                  <c:v>4.7</c:v>
                </c:pt>
                <c:pt idx="6">
                  <c:v>2.5</c:v>
                </c:pt>
                <c:pt idx="7">
                  <c:v>6.6</c:v>
                </c:pt>
                <c:pt idx="8">
                  <c:v>7.7</c:v>
                </c:pt>
                <c:pt idx="9">
                  <c:v>3.3</c:v>
                </c:pt>
                <c:pt idx="10">
                  <c:v>5.0999999999999996</c:v>
                </c:pt>
                <c:pt idx="11">
                  <c:v>6.5</c:v>
                </c:pt>
                <c:pt idx="12">
                  <c:v>9.1999999999999993</c:v>
                </c:pt>
                <c:pt idx="13">
                  <c:v>5.5</c:v>
                </c:pt>
                <c:pt idx="14">
                  <c:v>4.3</c:v>
                </c:pt>
                <c:pt idx="15">
                  <c:v>4.7</c:v>
                </c:pt>
                <c:pt idx="16">
                  <c:v>6.7</c:v>
                </c:pt>
                <c:pt idx="17">
                  <c:v>8</c:v>
                </c:pt>
                <c:pt idx="18">
                  <c:v>8</c:v>
                </c:pt>
                <c:pt idx="19">
                  <c:v>6.9</c:v>
                </c:pt>
                <c:pt idx="20">
                  <c:v>7</c:v>
                </c:pt>
                <c:pt idx="21">
                  <c:v>6.9</c:v>
                </c:pt>
                <c:pt idx="22">
                  <c:v>8.6999999999999993</c:v>
                </c:pt>
                <c:pt idx="23">
                  <c:v>9.8000000000000007</c:v>
                </c:pt>
                <c:pt idx="24">
                  <c:v>5.8</c:v>
                </c:pt>
                <c:pt idx="25">
                  <c:v>12.3</c:v>
                </c:pt>
                <c:pt idx="26">
                  <c:v>16.899999999999999</c:v>
                </c:pt>
                <c:pt idx="27">
                  <c:v>3.5</c:v>
                </c:pt>
                <c:pt idx="28">
                  <c:v>4.9000000000000004</c:v>
                </c:pt>
                <c:pt idx="29">
                  <c:v>0.8</c:v>
                </c:pt>
                <c:pt idx="30">
                  <c:v>4</c:v>
                </c:pt>
                <c:pt idx="31">
                  <c:v>8.6999999999999993</c:v>
                </c:pt>
                <c:pt idx="32">
                  <c:v>14.3</c:v>
                </c:pt>
                <c:pt idx="33">
                  <c:v>10.3</c:v>
                </c:pt>
                <c:pt idx="34">
                  <c:v>1.8</c:v>
                </c:pt>
                <c:pt idx="35">
                  <c:v>-2.1</c:v>
                </c:pt>
                <c:pt idx="36">
                  <c:v>-4.0999999999999996</c:v>
                </c:pt>
                <c:pt idx="37">
                  <c:v>-0.7</c:v>
                </c:pt>
                <c:pt idx="38">
                  <c:v>2.2000000000000002</c:v>
                </c:pt>
                <c:pt idx="39">
                  <c:v>2.5</c:v>
                </c:pt>
                <c:pt idx="40">
                  <c:v>-3.3</c:v>
                </c:pt>
              </c:numCache>
            </c:numRef>
          </c:xVal>
          <c:yVal>
            <c:numRef>
              <c:f>EX10_Excel!$H$27:$H$67</c:f>
              <c:numCache>
                <c:formatCode>0.0000</c:formatCode>
                <c:ptCount val="41"/>
                <c:pt idx="0">
                  <c:v>-2.8364715967382192</c:v>
                </c:pt>
                <c:pt idx="1">
                  <c:v>-2.7745802625823135</c:v>
                </c:pt>
                <c:pt idx="2">
                  <c:v>-2.1955609543668571</c:v>
                </c:pt>
                <c:pt idx="3">
                  <c:v>-3.1742300155164047</c:v>
                </c:pt>
                <c:pt idx="4">
                  <c:v>-2.4535995707977691</c:v>
                </c:pt>
                <c:pt idx="5">
                  <c:v>-0.8735295213845875</c:v>
                </c:pt>
                <c:pt idx="6">
                  <c:v>-0.93507060847458501</c:v>
                </c:pt>
                <c:pt idx="7">
                  <c:v>-5.219858253413534E-2</c:v>
                </c:pt>
                <c:pt idx="8">
                  <c:v>1.2285719610108634</c:v>
                </c:pt>
                <c:pt idx="9">
                  <c:v>1.5054897868308679</c:v>
                </c:pt>
                <c:pt idx="10">
                  <c:v>-1.1532493237318606</c:v>
                </c:pt>
                <c:pt idx="11">
                  <c:v>-1.3322686319473172</c:v>
                </c:pt>
                <c:pt idx="12">
                  <c:v>3.4296227022085883</c:v>
                </c:pt>
                <c:pt idx="13">
                  <c:v>7.7670308739208664</c:v>
                </c:pt>
                <c:pt idx="14">
                  <c:v>2.6061902809626858</c:v>
                </c:pt>
                <c:pt idx="15">
                  <c:v>0.52647047861541285</c:v>
                </c:pt>
                <c:pt idx="16">
                  <c:v>1.9278714668790462</c:v>
                </c:pt>
                <c:pt idx="17">
                  <c:v>3.9687821092504088</c:v>
                </c:pt>
                <c:pt idx="18">
                  <c:v>8.2687821092504095</c:v>
                </c:pt>
                <c:pt idx="19">
                  <c:v>7.6880115657054091</c:v>
                </c:pt>
                <c:pt idx="20">
                  <c:v>4.0680816151185919</c:v>
                </c:pt>
                <c:pt idx="21">
                  <c:v>-1.0119884342945911</c:v>
                </c:pt>
                <c:pt idx="22">
                  <c:v>-1.3707275448573197</c:v>
                </c:pt>
                <c:pt idx="23">
                  <c:v>-1.4899570013123218</c:v>
                </c:pt>
                <c:pt idx="24">
                  <c:v>-0.79275897783958893</c:v>
                </c:pt>
                <c:pt idx="25">
                  <c:v>-4.788205765982779</c:v>
                </c:pt>
                <c:pt idx="26">
                  <c:v>-2.4049834929764202</c:v>
                </c:pt>
                <c:pt idx="27">
                  <c:v>0.26562988565723256</c:v>
                </c:pt>
                <c:pt idx="28">
                  <c:v>0.18661057744177523</c:v>
                </c:pt>
                <c:pt idx="29">
                  <c:v>2.5037385515013257</c:v>
                </c:pt>
                <c:pt idx="30">
                  <c:v>-1.13401986727686</c:v>
                </c:pt>
                <c:pt idx="31">
                  <c:v>-2.2707275448573196</c:v>
                </c:pt>
                <c:pt idx="32">
                  <c:v>-3.5868047777191441</c:v>
                </c:pt>
                <c:pt idx="33">
                  <c:v>-2.7896067542464129</c:v>
                </c:pt>
                <c:pt idx="34">
                  <c:v>-1.2955609543668571</c:v>
                </c:pt>
                <c:pt idx="35">
                  <c:v>0.28170711851905672</c:v>
                </c:pt>
                <c:pt idx="36">
                  <c:v>-0.91969386974457756</c:v>
                </c:pt>
                <c:pt idx="37">
                  <c:v>-1.6973121896963996</c:v>
                </c:pt>
                <c:pt idx="38">
                  <c:v>-1.1752807567141299</c:v>
                </c:pt>
                <c:pt idx="39">
                  <c:v>-0.5350706084745851</c:v>
                </c:pt>
                <c:pt idx="40">
                  <c:v>-1.1791334744391238</c:v>
                </c:pt>
              </c:numCache>
            </c:numRef>
          </c:yVal>
        </c:ser>
        <c:axId val="235152896"/>
        <c:axId val="235154816"/>
      </c:scatterChart>
      <c:valAx>
        <c:axId val="235152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1</a:t>
                </a:r>
              </a:p>
            </c:rich>
          </c:tx>
          <c:layout/>
        </c:title>
        <c:numFmt formatCode="General" sourceLinked="1"/>
        <c:tickLblPos val="nextTo"/>
        <c:crossAx val="235154816"/>
        <c:crosses val="autoZero"/>
        <c:crossBetween val="midCat"/>
      </c:valAx>
      <c:valAx>
        <c:axId val="23515481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layout/>
        </c:title>
        <c:numFmt formatCode="0.0000" sourceLinked="1"/>
        <c:tickLblPos val="nextTo"/>
        <c:crossAx val="235152896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Variável X 1 Plotagem de ajuste de linha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EX10_Excel!$C$4:$C$44</c:f>
              <c:numCache>
                <c:formatCode>General</c:formatCode>
                <c:ptCount val="41"/>
                <c:pt idx="0">
                  <c:v>0.5</c:v>
                </c:pt>
                <c:pt idx="1">
                  <c:v>3.2</c:v>
                </c:pt>
                <c:pt idx="2">
                  <c:v>1.8</c:v>
                </c:pt>
                <c:pt idx="3">
                  <c:v>3.7</c:v>
                </c:pt>
                <c:pt idx="4">
                  <c:v>4.5999999999999996</c:v>
                </c:pt>
                <c:pt idx="5">
                  <c:v>4.7</c:v>
                </c:pt>
                <c:pt idx="6">
                  <c:v>2.5</c:v>
                </c:pt>
                <c:pt idx="7">
                  <c:v>6.6</c:v>
                </c:pt>
                <c:pt idx="8">
                  <c:v>7.7</c:v>
                </c:pt>
                <c:pt idx="9">
                  <c:v>3.3</c:v>
                </c:pt>
                <c:pt idx="10">
                  <c:v>5.0999999999999996</c:v>
                </c:pt>
                <c:pt idx="11">
                  <c:v>6.5</c:v>
                </c:pt>
                <c:pt idx="12">
                  <c:v>9.1999999999999993</c:v>
                </c:pt>
                <c:pt idx="13">
                  <c:v>5.5</c:v>
                </c:pt>
                <c:pt idx="14">
                  <c:v>4.3</c:v>
                </c:pt>
                <c:pt idx="15">
                  <c:v>4.7</c:v>
                </c:pt>
                <c:pt idx="16">
                  <c:v>6.7</c:v>
                </c:pt>
                <c:pt idx="17">
                  <c:v>8</c:v>
                </c:pt>
                <c:pt idx="18">
                  <c:v>8</c:v>
                </c:pt>
                <c:pt idx="19">
                  <c:v>6.9</c:v>
                </c:pt>
                <c:pt idx="20">
                  <c:v>7</c:v>
                </c:pt>
                <c:pt idx="21">
                  <c:v>6.9</c:v>
                </c:pt>
                <c:pt idx="22">
                  <c:v>8.6999999999999993</c:v>
                </c:pt>
                <c:pt idx="23">
                  <c:v>9.8000000000000007</c:v>
                </c:pt>
                <c:pt idx="24">
                  <c:v>5.8</c:v>
                </c:pt>
                <c:pt idx="25">
                  <c:v>12.3</c:v>
                </c:pt>
                <c:pt idx="26">
                  <c:v>16.899999999999999</c:v>
                </c:pt>
                <c:pt idx="27">
                  <c:v>3.5</c:v>
                </c:pt>
                <c:pt idx="28">
                  <c:v>4.9000000000000004</c:v>
                </c:pt>
                <c:pt idx="29">
                  <c:v>0.8</c:v>
                </c:pt>
                <c:pt idx="30">
                  <c:v>4</c:v>
                </c:pt>
                <c:pt idx="31">
                  <c:v>8.6999999999999993</c:v>
                </c:pt>
                <c:pt idx="32">
                  <c:v>14.3</c:v>
                </c:pt>
                <c:pt idx="33">
                  <c:v>10.3</c:v>
                </c:pt>
                <c:pt idx="34">
                  <c:v>1.8</c:v>
                </c:pt>
                <c:pt idx="35">
                  <c:v>-2.1</c:v>
                </c:pt>
                <c:pt idx="36">
                  <c:v>-4.0999999999999996</c:v>
                </c:pt>
                <c:pt idx="37">
                  <c:v>-0.7</c:v>
                </c:pt>
                <c:pt idx="38">
                  <c:v>2.2000000000000002</c:v>
                </c:pt>
                <c:pt idx="39">
                  <c:v>2.5</c:v>
                </c:pt>
                <c:pt idx="40">
                  <c:v>-3.3</c:v>
                </c:pt>
              </c:numCache>
            </c:numRef>
          </c:xVal>
          <c:yVal>
            <c:numRef>
              <c:f>EX10_Excel!$D$4:$D$44</c:f>
              <c:numCache>
                <c:formatCode>General</c:formatCode>
                <c:ptCount val="41"/>
                <c:pt idx="0">
                  <c:v>0.7</c:v>
                </c:pt>
                <c:pt idx="1">
                  <c:v>1.3</c:v>
                </c:pt>
                <c:pt idx="2">
                  <c:v>1.6</c:v>
                </c:pt>
                <c:pt idx="3">
                  <c:v>1</c:v>
                </c:pt>
                <c:pt idx="4">
                  <c:v>1.9</c:v>
                </c:pt>
                <c:pt idx="5">
                  <c:v>3.5</c:v>
                </c:pt>
                <c:pt idx="6">
                  <c:v>3</c:v>
                </c:pt>
                <c:pt idx="7">
                  <c:v>4.7</c:v>
                </c:pt>
                <c:pt idx="8">
                  <c:v>6.2</c:v>
                </c:pt>
                <c:pt idx="9">
                  <c:v>5.6</c:v>
                </c:pt>
                <c:pt idx="10">
                  <c:v>3.3</c:v>
                </c:pt>
                <c:pt idx="11">
                  <c:v>3.4</c:v>
                </c:pt>
                <c:pt idx="12">
                  <c:v>8.6999999999999993</c:v>
                </c:pt>
                <c:pt idx="13">
                  <c:v>12.3</c:v>
                </c:pt>
                <c:pt idx="14">
                  <c:v>6.9</c:v>
                </c:pt>
                <c:pt idx="15">
                  <c:v>4.9000000000000004</c:v>
                </c:pt>
                <c:pt idx="16">
                  <c:v>6.7</c:v>
                </c:pt>
                <c:pt idx="17">
                  <c:v>9</c:v>
                </c:pt>
                <c:pt idx="18">
                  <c:v>13.3</c:v>
                </c:pt>
                <c:pt idx="19">
                  <c:v>12.5</c:v>
                </c:pt>
                <c:pt idx="20">
                  <c:v>8.9</c:v>
                </c:pt>
                <c:pt idx="21">
                  <c:v>3.8</c:v>
                </c:pt>
                <c:pt idx="22">
                  <c:v>3.8</c:v>
                </c:pt>
                <c:pt idx="23">
                  <c:v>3.9</c:v>
                </c:pt>
                <c:pt idx="24">
                  <c:v>3.8</c:v>
                </c:pt>
                <c:pt idx="25">
                  <c:v>1.1000000000000001</c:v>
                </c:pt>
                <c:pt idx="26">
                  <c:v>4.4000000000000004</c:v>
                </c:pt>
                <c:pt idx="27">
                  <c:v>4.4000000000000004</c:v>
                </c:pt>
                <c:pt idx="28">
                  <c:v>4.5999999999999996</c:v>
                </c:pt>
                <c:pt idx="29">
                  <c:v>6.1</c:v>
                </c:pt>
                <c:pt idx="30">
                  <c:v>3.1</c:v>
                </c:pt>
                <c:pt idx="31">
                  <c:v>2.9</c:v>
                </c:pt>
                <c:pt idx="32">
                  <c:v>2.7</c:v>
                </c:pt>
                <c:pt idx="33">
                  <c:v>2.7</c:v>
                </c:pt>
                <c:pt idx="34">
                  <c:v>2.5</c:v>
                </c:pt>
                <c:pt idx="35">
                  <c:v>3.3</c:v>
                </c:pt>
                <c:pt idx="36">
                  <c:v>1.7</c:v>
                </c:pt>
                <c:pt idx="37">
                  <c:v>1.6</c:v>
                </c:pt>
                <c:pt idx="38">
                  <c:v>2.7</c:v>
                </c:pt>
                <c:pt idx="39">
                  <c:v>3.4</c:v>
                </c:pt>
                <c:pt idx="40">
                  <c:v>1.6</c:v>
                </c:pt>
              </c:numCache>
            </c:numRef>
          </c:yVal>
        </c:ser>
        <c:ser>
          <c:idx val="1"/>
          <c:order val="1"/>
          <c:tx>
            <c:v>Y previsto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EX10_Excel!$C$4:$C$44</c:f>
              <c:numCache>
                <c:formatCode>General</c:formatCode>
                <c:ptCount val="41"/>
                <c:pt idx="0">
                  <c:v>0.5</c:v>
                </c:pt>
                <c:pt idx="1">
                  <c:v>3.2</c:v>
                </c:pt>
                <c:pt idx="2">
                  <c:v>1.8</c:v>
                </c:pt>
                <c:pt idx="3">
                  <c:v>3.7</c:v>
                </c:pt>
                <c:pt idx="4">
                  <c:v>4.5999999999999996</c:v>
                </c:pt>
                <c:pt idx="5">
                  <c:v>4.7</c:v>
                </c:pt>
                <c:pt idx="6">
                  <c:v>2.5</c:v>
                </c:pt>
                <c:pt idx="7">
                  <c:v>6.6</c:v>
                </c:pt>
                <c:pt idx="8">
                  <c:v>7.7</c:v>
                </c:pt>
                <c:pt idx="9">
                  <c:v>3.3</c:v>
                </c:pt>
                <c:pt idx="10">
                  <c:v>5.0999999999999996</c:v>
                </c:pt>
                <c:pt idx="11">
                  <c:v>6.5</c:v>
                </c:pt>
                <c:pt idx="12">
                  <c:v>9.1999999999999993</c:v>
                </c:pt>
                <c:pt idx="13">
                  <c:v>5.5</c:v>
                </c:pt>
                <c:pt idx="14">
                  <c:v>4.3</c:v>
                </c:pt>
                <c:pt idx="15">
                  <c:v>4.7</c:v>
                </c:pt>
                <c:pt idx="16">
                  <c:v>6.7</c:v>
                </c:pt>
                <c:pt idx="17">
                  <c:v>8</c:v>
                </c:pt>
                <c:pt idx="18">
                  <c:v>8</c:v>
                </c:pt>
                <c:pt idx="19">
                  <c:v>6.9</c:v>
                </c:pt>
                <c:pt idx="20">
                  <c:v>7</c:v>
                </c:pt>
                <c:pt idx="21">
                  <c:v>6.9</c:v>
                </c:pt>
                <c:pt idx="22">
                  <c:v>8.6999999999999993</c:v>
                </c:pt>
                <c:pt idx="23">
                  <c:v>9.8000000000000007</c:v>
                </c:pt>
                <c:pt idx="24">
                  <c:v>5.8</c:v>
                </c:pt>
                <c:pt idx="25">
                  <c:v>12.3</c:v>
                </c:pt>
                <c:pt idx="26">
                  <c:v>16.899999999999999</c:v>
                </c:pt>
                <c:pt idx="27">
                  <c:v>3.5</c:v>
                </c:pt>
                <c:pt idx="28">
                  <c:v>4.9000000000000004</c:v>
                </c:pt>
                <c:pt idx="29">
                  <c:v>0.8</c:v>
                </c:pt>
                <c:pt idx="30">
                  <c:v>4</c:v>
                </c:pt>
                <c:pt idx="31">
                  <c:v>8.6999999999999993</c:v>
                </c:pt>
                <c:pt idx="32">
                  <c:v>14.3</c:v>
                </c:pt>
                <c:pt idx="33">
                  <c:v>10.3</c:v>
                </c:pt>
                <c:pt idx="34">
                  <c:v>1.8</c:v>
                </c:pt>
                <c:pt idx="35">
                  <c:v>-2.1</c:v>
                </c:pt>
                <c:pt idx="36">
                  <c:v>-4.0999999999999996</c:v>
                </c:pt>
                <c:pt idx="37">
                  <c:v>-0.7</c:v>
                </c:pt>
                <c:pt idx="38">
                  <c:v>2.2000000000000002</c:v>
                </c:pt>
                <c:pt idx="39">
                  <c:v>2.5</c:v>
                </c:pt>
                <c:pt idx="40">
                  <c:v>-3.3</c:v>
                </c:pt>
              </c:numCache>
            </c:numRef>
          </c:xVal>
          <c:yVal>
            <c:numRef>
              <c:f>EX10_Excel!$G$27:$G$67</c:f>
              <c:numCache>
                <c:formatCode>0.0000</c:formatCode>
                <c:ptCount val="41"/>
                <c:pt idx="0">
                  <c:v>3.536471596738219</c:v>
                </c:pt>
                <c:pt idx="1">
                  <c:v>4.0745802625823133</c:v>
                </c:pt>
                <c:pt idx="2">
                  <c:v>3.7955609543668571</c:v>
                </c:pt>
                <c:pt idx="3">
                  <c:v>4.1742300155164047</c:v>
                </c:pt>
                <c:pt idx="4">
                  <c:v>4.353599570797769</c:v>
                </c:pt>
                <c:pt idx="5">
                  <c:v>4.3735295213845875</c:v>
                </c:pt>
                <c:pt idx="6">
                  <c:v>3.935070608474585</c:v>
                </c:pt>
                <c:pt idx="7">
                  <c:v>4.7521985825341355</c:v>
                </c:pt>
                <c:pt idx="8">
                  <c:v>4.9714280389891368</c:v>
                </c:pt>
                <c:pt idx="9">
                  <c:v>4.0945102131691318</c:v>
                </c:pt>
                <c:pt idx="10">
                  <c:v>4.4532493237318604</c:v>
                </c:pt>
                <c:pt idx="11">
                  <c:v>4.7322686319473171</c:v>
                </c:pt>
                <c:pt idx="12">
                  <c:v>5.270377297791411</c:v>
                </c:pt>
                <c:pt idx="13">
                  <c:v>4.5329691260791343</c:v>
                </c:pt>
                <c:pt idx="14">
                  <c:v>4.2938097190373146</c:v>
                </c:pt>
                <c:pt idx="15">
                  <c:v>4.3735295213845875</c:v>
                </c:pt>
                <c:pt idx="16">
                  <c:v>4.772128533120954</c:v>
                </c:pt>
                <c:pt idx="17">
                  <c:v>5.0312178907495912</c:v>
                </c:pt>
                <c:pt idx="18">
                  <c:v>5.0312178907495912</c:v>
                </c:pt>
                <c:pt idx="19">
                  <c:v>4.8119884342945909</c:v>
                </c:pt>
                <c:pt idx="20">
                  <c:v>4.8319183848814085</c:v>
                </c:pt>
                <c:pt idx="21">
                  <c:v>4.8119884342945909</c:v>
                </c:pt>
                <c:pt idx="22">
                  <c:v>5.1707275448573196</c:v>
                </c:pt>
                <c:pt idx="23">
                  <c:v>5.3899570013123217</c:v>
                </c:pt>
                <c:pt idx="24">
                  <c:v>4.5927589778395888</c:v>
                </c:pt>
                <c:pt idx="25">
                  <c:v>5.8882057659827787</c:v>
                </c:pt>
                <c:pt idx="26">
                  <c:v>6.8049834929764206</c:v>
                </c:pt>
                <c:pt idx="27">
                  <c:v>4.1343701143427678</c:v>
                </c:pt>
                <c:pt idx="28">
                  <c:v>4.4133894225582244</c:v>
                </c:pt>
                <c:pt idx="29">
                  <c:v>3.5962614484986739</c:v>
                </c:pt>
                <c:pt idx="30">
                  <c:v>4.2340198672768601</c:v>
                </c:pt>
                <c:pt idx="31">
                  <c:v>5.1707275448573196</c:v>
                </c:pt>
                <c:pt idx="32">
                  <c:v>6.2868047777191443</c:v>
                </c:pt>
                <c:pt idx="33">
                  <c:v>5.4896067542464131</c:v>
                </c:pt>
                <c:pt idx="34">
                  <c:v>3.7955609543668571</c:v>
                </c:pt>
                <c:pt idx="35">
                  <c:v>3.0182928814809431</c:v>
                </c:pt>
                <c:pt idx="36">
                  <c:v>2.6196938697445775</c:v>
                </c:pt>
                <c:pt idx="37">
                  <c:v>3.2973121896963997</c:v>
                </c:pt>
                <c:pt idx="38">
                  <c:v>3.8752807567141301</c:v>
                </c:pt>
                <c:pt idx="39">
                  <c:v>3.935070608474585</c:v>
                </c:pt>
                <c:pt idx="40">
                  <c:v>2.7791334744391238</c:v>
                </c:pt>
              </c:numCache>
            </c:numRef>
          </c:yVal>
        </c:ser>
        <c:axId val="235202048"/>
        <c:axId val="235203968"/>
      </c:scatterChart>
      <c:valAx>
        <c:axId val="235202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1</a:t>
                </a:r>
              </a:p>
            </c:rich>
          </c:tx>
          <c:layout/>
        </c:title>
        <c:numFmt formatCode="General" sourceLinked="1"/>
        <c:tickLblPos val="nextTo"/>
        <c:crossAx val="235203968"/>
        <c:crosses val="autoZero"/>
        <c:crossBetween val="midCat"/>
      </c:valAx>
      <c:valAx>
        <c:axId val="23520396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layout/>
        </c:title>
        <c:numFmt formatCode="General" sourceLinked="1"/>
        <c:tickLblPos val="nextTo"/>
        <c:crossAx val="2352020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Plotagem de probabilidade normal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EX10_Excel!$K$27:$K$67</c:f>
              <c:numCache>
                <c:formatCode>0.0000</c:formatCode>
                <c:ptCount val="41"/>
                <c:pt idx="0">
                  <c:v>1.2195121951219512</c:v>
                </c:pt>
                <c:pt idx="1">
                  <c:v>3.6585365853658534</c:v>
                </c:pt>
                <c:pt idx="2">
                  <c:v>6.0975609756097562</c:v>
                </c:pt>
                <c:pt idx="3">
                  <c:v>8.5365853658536572</c:v>
                </c:pt>
                <c:pt idx="4">
                  <c:v>10.97560975609756</c:v>
                </c:pt>
                <c:pt idx="5">
                  <c:v>13.414634146341463</c:v>
                </c:pt>
                <c:pt idx="6">
                  <c:v>15.853658536585364</c:v>
                </c:pt>
                <c:pt idx="7">
                  <c:v>18.292682926829269</c:v>
                </c:pt>
                <c:pt idx="8">
                  <c:v>20.73170731707317</c:v>
                </c:pt>
                <c:pt idx="9">
                  <c:v>23.170731707317071</c:v>
                </c:pt>
                <c:pt idx="10">
                  <c:v>25.609756097560975</c:v>
                </c:pt>
                <c:pt idx="11">
                  <c:v>28.048780487804876</c:v>
                </c:pt>
                <c:pt idx="12">
                  <c:v>30.487804878048777</c:v>
                </c:pt>
                <c:pt idx="13">
                  <c:v>32.926829268292686</c:v>
                </c:pt>
                <c:pt idx="14">
                  <c:v>35.365853658536587</c:v>
                </c:pt>
                <c:pt idx="15">
                  <c:v>37.804878048780488</c:v>
                </c:pt>
                <c:pt idx="16">
                  <c:v>40.243902439024389</c:v>
                </c:pt>
                <c:pt idx="17">
                  <c:v>42.68292682926829</c:v>
                </c:pt>
                <c:pt idx="18">
                  <c:v>45.121951219512191</c:v>
                </c:pt>
                <c:pt idx="19">
                  <c:v>47.560975609756099</c:v>
                </c:pt>
                <c:pt idx="20">
                  <c:v>50</c:v>
                </c:pt>
                <c:pt idx="21">
                  <c:v>52.439024390243901</c:v>
                </c:pt>
                <c:pt idx="22">
                  <c:v>54.878048780487802</c:v>
                </c:pt>
                <c:pt idx="23">
                  <c:v>57.317073170731703</c:v>
                </c:pt>
                <c:pt idx="24">
                  <c:v>59.756097560975604</c:v>
                </c:pt>
                <c:pt idx="25">
                  <c:v>62.195121951219512</c:v>
                </c:pt>
                <c:pt idx="26">
                  <c:v>64.634146341463421</c:v>
                </c:pt>
                <c:pt idx="27">
                  <c:v>67.073170731707322</c:v>
                </c:pt>
                <c:pt idx="28">
                  <c:v>69.512195121951223</c:v>
                </c:pt>
                <c:pt idx="29">
                  <c:v>71.951219512195124</c:v>
                </c:pt>
                <c:pt idx="30">
                  <c:v>74.390243902439025</c:v>
                </c:pt>
                <c:pt idx="31">
                  <c:v>76.829268292682926</c:v>
                </c:pt>
                <c:pt idx="32">
                  <c:v>79.268292682926827</c:v>
                </c:pt>
                <c:pt idx="33">
                  <c:v>81.707317073170728</c:v>
                </c:pt>
                <c:pt idx="34">
                  <c:v>84.146341463414629</c:v>
                </c:pt>
                <c:pt idx="35">
                  <c:v>86.58536585365853</c:v>
                </c:pt>
                <c:pt idx="36">
                  <c:v>89.024390243902431</c:v>
                </c:pt>
                <c:pt idx="37">
                  <c:v>91.463414634146332</c:v>
                </c:pt>
                <c:pt idx="38">
                  <c:v>93.902439024390247</c:v>
                </c:pt>
                <c:pt idx="39">
                  <c:v>96.341463414634148</c:v>
                </c:pt>
                <c:pt idx="40">
                  <c:v>98.780487804878049</c:v>
                </c:pt>
              </c:numCache>
            </c:numRef>
          </c:xVal>
          <c:yVal>
            <c:numRef>
              <c:f>EX10_Excel!$L$27:$L$67</c:f>
              <c:numCache>
                <c:formatCode>General</c:formatCode>
                <c:ptCount val="41"/>
                <c:pt idx="0">
                  <c:v>0.7</c:v>
                </c:pt>
                <c:pt idx="1">
                  <c:v>1</c:v>
                </c:pt>
                <c:pt idx="2">
                  <c:v>1.1000000000000001</c:v>
                </c:pt>
                <c:pt idx="3">
                  <c:v>1.3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1.7</c:v>
                </c:pt>
                <c:pt idx="8">
                  <c:v>1.9</c:v>
                </c:pt>
                <c:pt idx="9">
                  <c:v>2.5</c:v>
                </c:pt>
                <c:pt idx="10">
                  <c:v>2.7</c:v>
                </c:pt>
                <c:pt idx="11">
                  <c:v>2.7</c:v>
                </c:pt>
                <c:pt idx="12">
                  <c:v>2.7</c:v>
                </c:pt>
                <c:pt idx="13">
                  <c:v>2.9</c:v>
                </c:pt>
                <c:pt idx="14">
                  <c:v>3</c:v>
                </c:pt>
                <c:pt idx="15">
                  <c:v>3.1</c:v>
                </c:pt>
                <c:pt idx="16">
                  <c:v>3.3</c:v>
                </c:pt>
                <c:pt idx="17">
                  <c:v>3.3</c:v>
                </c:pt>
                <c:pt idx="18">
                  <c:v>3.4</c:v>
                </c:pt>
                <c:pt idx="19">
                  <c:v>3.4</c:v>
                </c:pt>
                <c:pt idx="20">
                  <c:v>3.5</c:v>
                </c:pt>
                <c:pt idx="21">
                  <c:v>3.8</c:v>
                </c:pt>
                <c:pt idx="22">
                  <c:v>3.8</c:v>
                </c:pt>
                <c:pt idx="23">
                  <c:v>3.8</c:v>
                </c:pt>
                <c:pt idx="24">
                  <c:v>3.9</c:v>
                </c:pt>
                <c:pt idx="25">
                  <c:v>4.4000000000000004</c:v>
                </c:pt>
                <c:pt idx="26">
                  <c:v>4.4000000000000004</c:v>
                </c:pt>
                <c:pt idx="27">
                  <c:v>4.5999999999999996</c:v>
                </c:pt>
                <c:pt idx="28">
                  <c:v>4.7</c:v>
                </c:pt>
                <c:pt idx="29">
                  <c:v>4.9000000000000004</c:v>
                </c:pt>
                <c:pt idx="30">
                  <c:v>5.6</c:v>
                </c:pt>
                <c:pt idx="31">
                  <c:v>6.1</c:v>
                </c:pt>
                <c:pt idx="32">
                  <c:v>6.2</c:v>
                </c:pt>
                <c:pt idx="33">
                  <c:v>6.7</c:v>
                </c:pt>
                <c:pt idx="34">
                  <c:v>6.9</c:v>
                </c:pt>
                <c:pt idx="35">
                  <c:v>8.6999999999999993</c:v>
                </c:pt>
                <c:pt idx="36">
                  <c:v>8.9</c:v>
                </c:pt>
                <c:pt idx="37">
                  <c:v>9</c:v>
                </c:pt>
                <c:pt idx="38">
                  <c:v>12.3</c:v>
                </c:pt>
                <c:pt idx="39">
                  <c:v>12.5</c:v>
                </c:pt>
                <c:pt idx="40">
                  <c:v>13.3</c:v>
                </c:pt>
              </c:numCache>
            </c:numRef>
          </c:yVal>
        </c:ser>
        <c:axId val="235250048"/>
        <c:axId val="235251968"/>
      </c:scatterChart>
      <c:valAx>
        <c:axId val="235250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Percentil da amostra</a:t>
                </a:r>
              </a:p>
            </c:rich>
          </c:tx>
        </c:title>
        <c:numFmt formatCode="0.0000" sourceLinked="1"/>
        <c:tickLblPos val="nextTo"/>
        <c:crossAx val="235251968"/>
        <c:crosses val="autoZero"/>
        <c:crossBetween val="midCat"/>
      </c:valAx>
      <c:valAx>
        <c:axId val="23525196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</c:title>
        <c:numFmt formatCode="General" sourceLinked="1"/>
        <c:tickLblPos val="nextTo"/>
        <c:crossAx val="235250048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png"/><Relationship Id="rId1" Type="http://schemas.openxmlformats.org/officeDocument/2006/relationships/chart" Target="../charts/chart1.xml"/><Relationship Id="rId5" Type="http://schemas.openxmlformats.org/officeDocument/2006/relationships/image" Target="../media/image8.emf"/><Relationship Id="rId4" Type="http://schemas.openxmlformats.org/officeDocument/2006/relationships/image" Target="../media/image7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9.emf"/><Relationship Id="rId1" Type="http://schemas.openxmlformats.org/officeDocument/2006/relationships/chart" Target="../charts/chart2.xml"/><Relationship Id="rId4" Type="http://schemas.openxmlformats.org/officeDocument/2006/relationships/image" Target="../media/image1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13" Type="http://schemas.openxmlformats.org/officeDocument/2006/relationships/image" Target="../media/image20.png"/><Relationship Id="rId3" Type="http://schemas.openxmlformats.org/officeDocument/2006/relationships/image" Target="../media/image7.emf"/><Relationship Id="rId7" Type="http://schemas.openxmlformats.org/officeDocument/2006/relationships/image" Target="../media/image14.png"/><Relationship Id="rId12" Type="http://schemas.openxmlformats.org/officeDocument/2006/relationships/image" Target="../media/image19.png"/><Relationship Id="rId2" Type="http://schemas.openxmlformats.org/officeDocument/2006/relationships/image" Target="../media/image6.emf"/><Relationship Id="rId16" Type="http://schemas.openxmlformats.org/officeDocument/2006/relationships/image" Target="../media/image23.png"/><Relationship Id="rId1" Type="http://schemas.openxmlformats.org/officeDocument/2006/relationships/chart" Target="../charts/chart4.xml"/><Relationship Id="rId6" Type="http://schemas.openxmlformats.org/officeDocument/2006/relationships/image" Target="../media/image13.png"/><Relationship Id="rId11" Type="http://schemas.openxmlformats.org/officeDocument/2006/relationships/image" Target="../media/image18.png"/><Relationship Id="rId5" Type="http://schemas.openxmlformats.org/officeDocument/2006/relationships/image" Target="../media/image12.png"/><Relationship Id="rId15" Type="http://schemas.openxmlformats.org/officeDocument/2006/relationships/image" Target="../media/image22.png"/><Relationship Id="rId10" Type="http://schemas.openxmlformats.org/officeDocument/2006/relationships/image" Target="../media/image17.png"/><Relationship Id="rId4" Type="http://schemas.openxmlformats.org/officeDocument/2006/relationships/image" Target="../media/image8.emf"/><Relationship Id="rId9" Type="http://schemas.openxmlformats.org/officeDocument/2006/relationships/image" Target="../media/image16.png"/><Relationship Id="rId14" Type="http://schemas.openxmlformats.org/officeDocument/2006/relationships/image" Target="../media/image2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emf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emf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9526</xdr:colOff>
      <xdr:row>11</xdr:row>
      <xdr:rowOff>14007</xdr:rowOff>
    </xdr:from>
    <xdr:to>
      <xdr:col>9</xdr:col>
      <xdr:colOff>19612</xdr:colOff>
      <xdr:row>12</xdr:row>
      <xdr:rowOff>189959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67376" y="2204757"/>
          <a:ext cx="838761" cy="3759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38101</xdr:colOff>
      <xdr:row>16</xdr:row>
      <xdr:rowOff>95251</xdr:rowOff>
    </xdr:from>
    <xdr:to>
      <xdr:col>9</xdr:col>
      <xdr:colOff>10087</xdr:colOff>
      <xdr:row>18</xdr:row>
      <xdr:rowOff>1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695951" y="3286126"/>
          <a:ext cx="800661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66674</xdr:colOff>
      <xdr:row>3</xdr:row>
      <xdr:rowOff>27321</xdr:rowOff>
    </xdr:from>
    <xdr:to>
      <xdr:col>11</xdr:col>
      <xdr:colOff>346073</xdr:colOff>
      <xdr:row>8</xdr:row>
      <xdr:rowOff>143995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53199" y="617871"/>
          <a:ext cx="2295524" cy="1116799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42333</xdr:colOff>
      <xdr:row>3</xdr:row>
      <xdr:rowOff>63498</xdr:rowOff>
    </xdr:from>
    <xdr:to>
      <xdr:col>25</xdr:col>
      <xdr:colOff>237173</xdr:colOff>
      <xdr:row>42</xdr:row>
      <xdr:rowOff>84665</xdr:rowOff>
    </xdr:to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9779000" y="656165"/>
          <a:ext cx="7560840" cy="77046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21166</xdr:colOff>
      <xdr:row>26</xdr:row>
      <xdr:rowOff>179917</xdr:rowOff>
    </xdr:from>
    <xdr:to>
      <xdr:col>16</xdr:col>
      <xdr:colOff>497416</xdr:colOff>
      <xdr:row>27</xdr:row>
      <xdr:rowOff>158750</xdr:rowOff>
    </xdr:to>
    <xdr:sp macro="" textlink="">
      <xdr:nvSpPr>
        <xdr:cNvPr id="6" name="Elipse 5"/>
        <xdr:cNvSpPr/>
      </xdr:nvSpPr>
      <xdr:spPr>
        <a:xfrm>
          <a:off x="11599333" y="5397500"/>
          <a:ext cx="476250" cy="179917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13</xdr:col>
      <xdr:colOff>67733</xdr:colOff>
      <xdr:row>27</xdr:row>
      <xdr:rowOff>14817</xdr:rowOff>
    </xdr:from>
    <xdr:to>
      <xdr:col>13</xdr:col>
      <xdr:colOff>543983</xdr:colOff>
      <xdr:row>28</xdr:row>
      <xdr:rowOff>4234</xdr:rowOff>
    </xdr:to>
    <xdr:sp macro="" textlink="">
      <xdr:nvSpPr>
        <xdr:cNvPr id="7" name="Elipse 6"/>
        <xdr:cNvSpPr/>
      </xdr:nvSpPr>
      <xdr:spPr>
        <a:xfrm>
          <a:off x="9804400" y="5433484"/>
          <a:ext cx="476250" cy="179917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16</xdr:col>
      <xdr:colOff>29633</xdr:colOff>
      <xdr:row>11</xdr:row>
      <xdr:rowOff>135468</xdr:rowOff>
    </xdr:from>
    <xdr:to>
      <xdr:col>16</xdr:col>
      <xdr:colOff>505883</xdr:colOff>
      <xdr:row>12</xdr:row>
      <xdr:rowOff>114301</xdr:rowOff>
    </xdr:to>
    <xdr:sp macro="" textlink="">
      <xdr:nvSpPr>
        <xdr:cNvPr id="8" name="Elipse 7"/>
        <xdr:cNvSpPr/>
      </xdr:nvSpPr>
      <xdr:spPr>
        <a:xfrm>
          <a:off x="11607800" y="2336801"/>
          <a:ext cx="476250" cy="179917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14</xdr:col>
      <xdr:colOff>298449</xdr:colOff>
      <xdr:row>10</xdr:row>
      <xdr:rowOff>118536</xdr:rowOff>
    </xdr:from>
    <xdr:to>
      <xdr:col>17</xdr:col>
      <xdr:colOff>560916</xdr:colOff>
      <xdr:row>11</xdr:row>
      <xdr:rowOff>148169</xdr:rowOff>
    </xdr:to>
    <xdr:sp macro="" textlink="">
      <xdr:nvSpPr>
        <xdr:cNvPr id="9" name="Elipse 8"/>
        <xdr:cNvSpPr/>
      </xdr:nvSpPr>
      <xdr:spPr>
        <a:xfrm>
          <a:off x="10648949" y="2118786"/>
          <a:ext cx="2103967" cy="230716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590549</xdr:colOff>
      <xdr:row>1</xdr:row>
      <xdr:rowOff>9525</xdr:rowOff>
    </xdr:from>
    <xdr:to>
      <xdr:col>22</xdr:col>
      <xdr:colOff>28575</xdr:colOff>
      <xdr:row>14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600075</xdr:colOff>
      <xdr:row>15</xdr:row>
      <xdr:rowOff>28574</xdr:rowOff>
    </xdr:from>
    <xdr:to>
      <xdr:col>21</xdr:col>
      <xdr:colOff>581025</xdr:colOff>
      <xdr:row>32</xdr:row>
      <xdr:rowOff>171450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47625</xdr:colOff>
      <xdr:row>33</xdr:row>
      <xdr:rowOff>180976</xdr:rowOff>
    </xdr:from>
    <xdr:to>
      <xdr:col>21</xdr:col>
      <xdr:colOff>600075</xdr:colOff>
      <xdr:row>48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9526</xdr:colOff>
      <xdr:row>11</xdr:row>
      <xdr:rowOff>14007</xdr:rowOff>
    </xdr:from>
    <xdr:to>
      <xdr:col>9</xdr:col>
      <xdr:colOff>19612</xdr:colOff>
      <xdr:row>12</xdr:row>
      <xdr:rowOff>189959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29276" y="2204757"/>
          <a:ext cx="838761" cy="3759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38101</xdr:colOff>
      <xdr:row>16</xdr:row>
      <xdr:rowOff>95251</xdr:rowOff>
    </xdr:from>
    <xdr:to>
      <xdr:col>9</xdr:col>
      <xdr:colOff>10087</xdr:colOff>
      <xdr:row>18</xdr:row>
      <xdr:rowOff>1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657851" y="3286126"/>
          <a:ext cx="800661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66674</xdr:colOff>
      <xdr:row>3</xdr:row>
      <xdr:rowOff>27321</xdr:rowOff>
    </xdr:from>
    <xdr:to>
      <xdr:col>11</xdr:col>
      <xdr:colOff>346073</xdr:colOff>
      <xdr:row>8</xdr:row>
      <xdr:rowOff>143995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15099" y="617871"/>
          <a:ext cx="2295524" cy="1116799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42333</xdr:colOff>
      <xdr:row>3</xdr:row>
      <xdr:rowOff>52916</xdr:rowOff>
    </xdr:from>
    <xdr:to>
      <xdr:col>25</xdr:col>
      <xdr:colOff>237173</xdr:colOff>
      <xdr:row>42</xdr:row>
      <xdr:rowOff>74083</xdr:rowOff>
    </xdr:to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9779000" y="645583"/>
          <a:ext cx="7560840" cy="77046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14</xdr:col>
      <xdr:colOff>539767</xdr:colOff>
      <xdr:row>17</xdr:row>
      <xdr:rowOff>63500</xdr:rowOff>
    </xdr:from>
    <xdr:to>
      <xdr:col>15</xdr:col>
      <xdr:colOff>402184</xdr:colOff>
      <xdr:row>18</xdr:row>
      <xdr:rowOff>42333</xdr:rowOff>
    </xdr:to>
    <xdr:sp macro="" textlink="">
      <xdr:nvSpPr>
        <xdr:cNvPr id="8" name="Elipse 7"/>
        <xdr:cNvSpPr/>
      </xdr:nvSpPr>
      <xdr:spPr>
        <a:xfrm>
          <a:off x="10890267" y="3471333"/>
          <a:ext cx="476250" cy="179917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14</xdr:col>
      <xdr:colOff>247667</xdr:colOff>
      <xdr:row>12</xdr:row>
      <xdr:rowOff>95251</xdr:rowOff>
    </xdr:from>
    <xdr:to>
      <xdr:col>17</xdr:col>
      <xdr:colOff>592667</xdr:colOff>
      <xdr:row>13</xdr:row>
      <xdr:rowOff>116418</xdr:rowOff>
    </xdr:to>
    <xdr:sp macro="" textlink="">
      <xdr:nvSpPr>
        <xdr:cNvPr id="9" name="Elipse 8"/>
        <xdr:cNvSpPr/>
      </xdr:nvSpPr>
      <xdr:spPr>
        <a:xfrm>
          <a:off x="10598167" y="2497668"/>
          <a:ext cx="2186500" cy="2222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14</xdr:col>
      <xdr:colOff>560916</xdr:colOff>
      <xdr:row>13</xdr:row>
      <xdr:rowOff>105833</xdr:rowOff>
    </xdr:from>
    <xdr:to>
      <xdr:col>15</xdr:col>
      <xdr:colOff>423333</xdr:colOff>
      <xdr:row>14</xdr:row>
      <xdr:rowOff>84667</xdr:rowOff>
    </xdr:to>
    <xdr:sp macro="" textlink="">
      <xdr:nvSpPr>
        <xdr:cNvPr id="10" name="Elipse 9"/>
        <xdr:cNvSpPr/>
      </xdr:nvSpPr>
      <xdr:spPr>
        <a:xfrm>
          <a:off x="10911416" y="2709333"/>
          <a:ext cx="476250" cy="179917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13</xdr:col>
      <xdr:colOff>110066</xdr:colOff>
      <xdr:row>17</xdr:row>
      <xdr:rowOff>57150</xdr:rowOff>
    </xdr:from>
    <xdr:to>
      <xdr:col>13</xdr:col>
      <xdr:colOff>586316</xdr:colOff>
      <xdr:row>18</xdr:row>
      <xdr:rowOff>35983</xdr:rowOff>
    </xdr:to>
    <xdr:sp macro="" textlink="">
      <xdr:nvSpPr>
        <xdr:cNvPr id="11" name="Elipse 10"/>
        <xdr:cNvSpPr/>
      </xdr:nvSpPr>
      <xdr:spPr>
        <a:xfrm>
          <a:off x="9846733" y="3464983"/>
          <a:ext cx="476250" cy="179917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598955</xdr:colOff>
      <xdr:row>5</xdr:row>
      <xdr:rowOff>171450</xdr:rowOff>
    </xdr:from>
    <xdr:to>
      <xdr:col>11</xdr:col>
      <xdr:colOff>190500</xdr:colOff>
      <xdr:row>17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331728</xdr:colOff>
      <xdr:row>29</xdr:row>
      <xdr:rowOff>101445</xdr:rowOff>
    </xdr:from>
    <xdr:to>
      <xdr:col>15</xdr:col>
      <xdr:colOff>63908</xdr:colOff>
      <xdr:row>33</xdr:row>
      <xdr:rowOff>142347</xdr:rowOff>
    </xdr:to>
    <xdr:pic>
      <xdr:nvPicPr>
        <xdr:cNvPr id="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68669" y="6018151"/>
          <a:ext cx="215265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347383</xdr:colOff>
      <xdr:row>19</xdr:row>
      <xdr:rowOff>190501</xdr:rowOff>
    </xdr:from>
    <xdr:to>
      <xdr:col>14</xdr:col>
      <xdr:colOff>189941</xdr:colOff>
      <xdr:row>22</xdr:row>
      <xdr:rowOff>36420</xdr:rowOff>
    </xdr:to>
    <xdr:pic>
      <xdr:nvPicPr>
        <xdr:cNvPr id="61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474824" y="4022913"/>
          <a:ext cx="1657911" cy="451037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336177</xdr:colOff>
      <xdr:row>22</xdr:row>
      <xdr:rowOff>168089</xdr:rowOff>
    </xdr:from>
    <xdr:to>
      <xdr:col>14</xdr:col>
      <xdr:colOff>64434</xdr:colOff>
      <xdr:row>25</xdr:row>
      <xdr:rowOff>99733</xdr:rowOff>
    </xdr:to>
    <xdr:pic>
      <xdr:nvPicPr>
        <xdr:cNvPr id="6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1463618" y="4605618"/>
          <a:ext cx="1543610" cy="536761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336177</xdr:colOff>
      <xdr:row>26</xdr:row>
      <xdr:rowOff>78441</xdr:rowOff>
    </xdr:from>
    <xdr:to>
      <xdr:col>15</xdr:col>
      <xdr:colOff>102535</xdr:colOff>
      <xdr:row>29</xdr:row>
      <xdr:rowOff>57710</xdr:rowOff>
    </xdr:to>
    <xdr:pic>
      <xdr:nvPicPr>
        <xdr:cNvPr id="61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1273118" y="5390029"/>
          <a:ext cx="2186828" cy="584387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590551</xdr:colOff>
      <xdr:row>3</xdr:row>
      <xdr:rowOff>114300</xdr:rowOff>
    </xdr:from>
    <xdr:to>
      <xdr:col>16</xdr:col>
      <xdr:colOff>95251</xdr:colOff>
      <xdr:row>18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44</xdr:row>
      <xdr:rowOff>0</xdr:rowOff>
    </xdr:from>
    <xdr:to>
      <xdr:col>6</xdr:col>
      <xdr:colOff>419100</xdr:colOff>
      <xdr:row>77</xdr:row>
      <xdr:rowOff>114300</xdr:rowOff>
    </xdr:to>
    <xdr:pic>
      <xdr:nvPicPr>
        <xdr:cNvPr id="102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8105775"/>
          <a:ext cx="6400800" cy="64008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20</xdr:row>
      <xdr:rowOff>38100</xdr:rowOff>
    </xdr:from>
    <xdr:to>
      <xdr:col>12</xdr:col>
      <xdr:colOff>600075</xdr:colOff>
      <xdr:row>23</xdr:row>
      <xdr:rowOff>0</xdr:rowOff>
    </xdr:to>
    <xdr:pic>
      <xdr:nvPicPr>
        <xdr:cNvPr id="61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001000" y="3495675"/>
          <a:ext cx="3228975" cy="5429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85725</xdr:colOff>
      <xdr:row>28</xdr:row>
      <xdr:rowOff>152400</xdr:rowOff>
    </xdr:from>
    <xdr:to>
      <xdr:col>12</xdr:col>
      <xdr:colOff>0</xdr:colOff>
      <xdr:row>30</xdr:row>
      <xdr:rowOff>57150</xdr:rowOff>
    </xdr:to>
    <xdr:pic>
      <xdr:nvPicPr>
        <xdr:cNvPr id="61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9496425" y="5181600"/>
          <a:ext cx="1133475" cy="29527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3</xdr:row>
      <xdr:rowOff>0</xdr:rowOff>
    </xdr:from>
    <xdr:to>
      <xdr:col>14</xdr:col>
      <xdr:colOff>323850</xdr:colOff>
      <xdr:row>17</xdr:row>
      <xdr:rowOff>76200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598955</xdr:colOff>
      <xdr:row>5</xdr:row>
      <xdr:rowOff>171450</xdr:rowOff>
    </xdr:from>
    <xdr:to>
      <xdr:col>11</xdr:col>
      <xdr:colOff>22412</xdr:colOff>
      <xdr:row>17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347383</xdr:colOff>
      <xdr:row>19</xdr:row>
      <xdr:rowOff>190501</xdr:rowOff>
    </xdr:from>
    <xdr:to>
      <xdr:col>13</xdr:col>
      <xdr:colOff>212352</xdr:colOff>
      <xdr:row>22</xdr:row>
      <xdr:rowOff>36420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434483" y="4067176"/>
          <a:ext cx="1671358" cy="445994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336177</xdr:colOff>
      <xdr:row>22</xdr:row>
      <xdr:rowOff>168089</xdr:rowOff>
    </xdr:from>
    <xdr:to>
      <xdr:col>13</xdr:col>
      <xdr:colOff>86845</xdr:colOff>
      <xdr:row>25</xdr:row>
      <xdr:rowOff>99733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423277" y="4644839"/>
          <a:ext cx="1557057" cy="53171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336177</xdr:colOff>
      <xdr:row>26</xdr:row>
      <xdr:rowOff>78441</xdr:rowOff>
    </xdr:from>
    <xdr:to>
      <xdr:col>13</xdr:col>
      <xdr:colOff>730063</xdr:colOff>
      <xdr:row>29</xdr:row>
      <xdr:rowOff>57710</xdr:rowOff>
    </xdr:to>
    <xdr:pic>
      <xdr:nvPicPr>
        <xdr:cNvPr id="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1423277" y="5355291"/>
          <a:ext cx="2204758" cy="579344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293019</xdr:colOff>
      <xdr:row>32</xdr:row>
      <xdr:rowOff>102904</xdr:rowOff>
    </xdr:from>
    <xdr:to>
      <xdr:col>10</xdr:col>
      <xdr:colOff>1714501</xdr:colOff>
      <xdr:row>35</xdr:row>
      <xdr:rowOff>169931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9705960" y="6658345"/>
          <a:ext cx="1421482" cy="6721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333514</xdr:colOff>
      <xdr:row>35</xdr:row>
      <xdr:rowOff>146504</xdr:rowOff>
    </xdr:from>
    <xdr:to>
      <xdr:col>10</xdr:col>
      <xdr:colOff>437032</xdr:colOff>
      <xdr:row>37</xdr:row>
      <xdr:rowOff>60894</xdr:rowOff>
    </xdr:to>
    <xdr:pic>
      <xdr:nvPicPr>
        <xdr:cNvPr id="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8446573" y="7307063"/>
          <a:ext cx="1403400" cy="3178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302558</xdr:colOff>
      <xdr:row>32</xdr:row>
      <xdr:rowOff>115916</xdr:rowOff>
    </xdr:from>
    <xdr:to>
      <xdr:col>10</xdr:col>
      <xdr:colOff>217533</xdr:colOff>
      <xdr:row>35</xdr:row>
      <xdr:rowOff>100853</xdr:rowOff>
    </xdr:to>
    <xdr:pic>
      <xdr:nvPicPr>
        <xdr:cNvPr id="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8415617" y="6671357"/>
          <a:ext cx="1214857" cy="590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282632</xdr:colOff>
      <xdr:row>48</xdr:row>
      <xdr:rowOff>56030</xdr:rowOff>
    </xdr:from>
    <xdr:to>
      <xdr:col>16</xdr:col>
      <xdr:colOff>313765</xdr:colOff>
      <xdr:row>50</xdr:row>
      <xdr:rowOff>83131</xdr:rowOff>
    </xdr:to>
    <xdr:pic>
      <xdr:nvPicPr>
        <xdr:cNvPr id="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4177926" y="10018059"/>
          <a:ext cx="1499104" cy="43051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699540</xdr:colOff>
      <xdr:row>48</xdr:row>
      <xdr:rowOff>57614</xdr:rowOff>
    </xdr:from>
    <xdr:to>
      <xdr:col>14</xdr:col>
      <xdr:colOff>268943</xdr:colOff>
      <xdr:row>50</xdr:row>
      <xdr:rowOff>68135</xdr:rowOff>
    </xdr:to>
    <xdr:pic>
      <xdr:nvPicPr>
        <xdr:cNvPr id="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2813099" y="10019643"/>
          <a:ext cx="1351138" cy="4139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126378</xdr:colOff>
      <xdr:row>48</xdr:row>
      <xdr:rowOff>32575</xdr:rowOff>
    </xdr:from>
    <xdr:to>
      <xdr:col>12</xdr:col>
      <xdr:colOff>728383</xdr:colOff>
      <xdr:row>50</xdr:row>
      <xdr:rowOff>81703</xdr:rowOff>
    </xdr:to>
    <xdr:pic>
      <xdr:nvPicPr>
        <xdr:cNvPr id="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1421907" y="9994604"/>
          <a:ext cx="1420035" cy="4525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145676</xdr:colOff>
      <xdr:row>55</xdr:row>
      <xdr:rowOff>159985</xdr:rowOff>
    </xdr:from>
    <xdr:to>
      <xdr:col>11</xdr:col>
      <xdr:colOff>146718</xdr:colOff>
      <xdr:row>59</xdr:row>
      <xdr:rowOff>1234</xdr:rowOff>
    </xdr:to>
    <xdr:pic>
      <xdr:nvPicPr>
        <xdr:cNvPr id="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8258735" y="11634809"/>
          <a:ext cx="3183512" cy="6480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1602441</xdr:colOff>
      <xdr:row>41</xdr:row>
      <xdr:rowOff>78441</xdr:rowOff>
    </xdr:from>
    <xdr:to>
      <xdr:col>10</xdr:col>
      <xdr:colOff>1716741</xdr:colOff>
      <xdr:row>41</xdr:row>
      <xdr:rowOff>259416</xdr:rowOff>
    </xdr:to>
    <xdr:pic>
      <xdr:nvPicPr>
        <xdr:cNvPr id="1127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1015382" y="8482853"/>
          <a:ext cx="114300" cy="1809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201707</xdr:colOff>
      <xdr:row>41</xdr:row>
      <xdr:rowOff>67234</xdr:rowOff>
    </xdr:from>
    <xdr:to>
      <xdr:col>11</xdr:col>
      <xdr:colOff>649382</xdr:colOff>
      <xdr:row>41</xdr:row>
      <xdr:rowOff>287990</xdr:rowOff>
    </xdr:to>
    <xdr:pic>
      <xdr:nvPicPr>
        <xdr:cNvPr id="1127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11497236" y="8471646"/>
          <a:ext cx="447675" cy="220756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145677</xdr:colOff>
      <xdr:row>41</xdr:row>
      <xdr:rowOff>67235</xdr:rowOff>
    </xdr:from>
    <xdr:to>
      <xdr:col>12</xdr:col>
      <xdr:colOff>726702</xdr:colOff>
      <xdr:row>41</xdr:row>
      <xdr:rowOff>278466</xdr:rowOff>
    </xdr:to>
    <xdr:pic>
      <xdr:nvPicPr>
        <xdr:cNvPr id="1127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259236" y="8471647"/>
          <a:ext cx="581025" cy="211231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134471</xdr:colOff>
      <xdr:row>41</xdr:row>
      <xdr:rowOff>67234</xdr:rowOff>
    </xdr:from>
    <xdr:to>
      <xdr:col>13</xdr:col>
      <xdr:colOff>725021</xdr:colOff>
      <xdr:row>41</xdr:row>
      <xdr:rowOff>268940</xdr:rowOff>
    </xdr:to>
    <xdr:pic>
      <xdr:nvPicPr>
        <xdr:cNvPr id="1127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13222942" y="8471646"/>
          <a:ext cx="590550" cy="201706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112059</xdr:colOff>
      <xdr:row>41</xdr:row>
      <xdr:rowOff>67235</xdr:rowOff>
    </xdr:from>
    <xdr:to>
      <xdr:col>14</xdr:col>
      <xdr:colOff>702609</xdr:colOff>
      <xdr:row>41</xdr:row>
      <xdr:rowOff>287991</xdr:rowOff>
    </xdr:to>
    <xdr:pic>
      <xdr:nvPicPr>
        <xdr:cNvPr id="71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14007353" y="8471647"/>
          <a:ext cx="590550" cy="220756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47626</xdr:colOff>
      <xdr:row>3</xdr:row>
      <xdr:rowOff>28576</xdr:rowOff>
    </xdr:from>
    <xdr:to>
      <xdr:col>7</xdr:col>
      <xdr:colOff>201707</xdr:colOff>
      <xdr:row>7</xdr:row>
      <xdr:rowOff>131420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52744" y="409576"/>
          <a:ext cx="4031316" cy="8648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352425</xdr:colOff>
      <xdr:row>22</xdr:row>
      <xdr:rowOff>95251</xdr:rowOff>
    </xdr:from>
    <xdr:to>
      <xdr:col>10</xdr:col>
      <xdr:colOff>258856</xdr:colOff>
      <xdr:row>24</xdr:row>
      <xdr:rowOff>45721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05275" y="4514851"/>
          <a:ext cx="2971800" cy="3314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13006</xdr:colOff>
      <xdr:row>21</xdr:row>
      <xdr:rowOff>9525</xdr:rowOff>
    </xdr:from>
    <xdr:to>
      <xdr:col>6</xdr:col>
      <xdr:colOff>171450</xdr:colOff>
      <xdr:row>33</xdr:row>
      <xdr:rowOff>123825</xdr:rowOff>
    </xdr:to>
    <xdr:pic>
      <xdr:nvPicPr>
        <xdr:cNvPr id="716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2606" y="4019550"/>
          <a:ext cx="4282769" cy="2400300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5</xdr:row>
      <xdr:rowOff>9525</xdr:rowOff>
    </xdr:from>
    <xdr:to>
      <xdr:col>9</xdr:col>
      <xdr:colOff>638176</xdr:colOff>
      <xdr:row>18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62</xdr:row>
      <xdr:rowOff>0</xdr:rowOff>
    </xdr:from>
    <xdr:to>
      <xdr:col>9</xdr:col>
      <xdr:colOff>733425</xdr:colOff>
      <xdr:row>95</xdr:row>
      <xdr:rowOff>114300</xdr:rowOff>
    </xdr:to>
    <xdr:pic>
      <xdr:nvPicPr>
        <xdr:cNvPr id="716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048000" y="11934825"/>
          <a:ext cx="6400800" cy="6400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P28"/>
  <sheetViews>
    <sheetView showGridLines="0" tabSelected="1" zoomScale="90" zoomScaleNormal="90" workbookViewId="0">
      <selection activeCell="D6" sqref="D6"/>
    </sheetView>
  </sheetViews>
  <sheetFormatPr defaultRowHeight="15"/>
  <cols>
    <col min="3" max="3" width="9.85546875" customWidth="1"/>
    <col min="4" max="4" width="10.5703125" customWidth="1"/>
    <col min="5" max="5" width="7.5703125" customWidth="1"/>
    <col min="6" max="6" width="9.85546875" bestFit="1" customWidth="1"/>
    <col min="7" max="7" width="14.140625" bestFit="1" customWidth="1"/>
    <col min="8" max="8" width="14.5703125" bestFit="1" customWidth="1"/>
    <col min="9" max="9" width="12.42578125" bestFit="1" customWidth="1"/>
    <col min="10" max="10" width="15.140625" customWidth="1"/>
    <col min="11" max="11" width="15.140625" bestFit="1" customWidth="1"/>
  </cols>
  <sheetData>
    <row r="2" spans="2:16" ht="15.75">
      <c r="B2" s="3" t="s">
        <v>13</v>
      </c>
      <c r="C2" s="5" t="s">
        <v>1</v>
      </c>
      <c r="D2" s="6">
        <v>0.45</v>
      </c>
      <c r="E2" s="4"/>
      <c r="F2" s="4" t="s">
        <v>16</v>
      </c>
      <c r="G2" s="4"/>
      <c r="H2" s="4"/>
      <c r="I2" s="5" t="s">
        <v>9</v>
      </c>
      <c r="J2" s="6" t="s">
        <v>14</v>
      </c>
      <c r="K2" s="4"/>
      <c r="L2" s="4"/>
    </row>
    <row r="3" spans="2:16" ht="15.75">
      <c r="C3" s="5" t="s">
        <v>0</v>
      </c>
      <c r="D3" s="6">
        <v>20</v>
      </c>
      <c r="E3" s="4"/>
      <c r="F3" s="4"/>
      <c r="G3" s="4"/>
      <c r="H3" s="4"/>
      <c r="I3" s="5" t="s">
        <v>10</v>
      </c>
      <c r="J3" s="6" t="s">
        <v>15</v>
      </c>
      <c r="K3" s="4"/>
      <c r="L3" s="4"/>
      <c r="P3" s="32" t="s">
        <v>20</v>
      </c>
    </row>
    <row r="4" spans="2:16" ht="15.75">
      <c r="C4" s="5" t="s">
        <v>2</v>
      </c>
      <c r="D4" s="6">
        <v>0.05</v>
      </c>
      <c r="E4" s="4"/>
      <c r="F4" s="4"/>
      <c r="G4" s="4"/>
      <c r="H4" s="4"/>
      <c r="I4" s="4"/>
      <c r="J4" s="4"/>
      <c r="K4" s="4"/>
      <c r="L4" s="4"/>
      <c r="P4" s="32" t="s">
        <v>21</v>
      </c>
    </row>
    <row r="5" spans="2:16" ht="15.75">
      <c r="C5" s="5" t="s">
        <v>3</v>
      </c>
      <c r="D5" s="6">
        <f>D3-2</f>
        <v>18</v>
      </c>
      <c r="E5" s="4"/>
      <c r="F5" s="4" t="s">
        <v>17</v>
      </c>
      <c r="G5" s="4"/>
      <c r="H5" s="4"/>
      <c r="I5" s="4"/>
      <c r="J5" s="4"/>
      <c r="K5" s="4"/>
      <c r="L5" s="4"/>
      <c r="P5" s="32" t="s">
        <v>22</v>
      </c>
    </row>
    <row r="6" spans="2:16" ht="15.75">
      <c r="C6" s="5" t="s">
        <v>23</v>
      </c>
      <c r="D6" s="6" t="s">
        <v>22</v>
      </c>
      <c r="E6" s="4"/>
      <c r="F6" s="4"/>
      <c r="G6" s="4"/>
      <c r="H6" s="4"/>
      <c r="I6" s="4"/>
      <c r="J6" s="4"/>
      <c r="K6" s="4"/>
      <c r="L6" s="4"/>
    </row>
    <row r="7" spans="2:16" ht="15.75">
      <c r="C7" s="4"/>
      <c r="D7" s="4"/>
      <c r="E7" s="4"/>
      <c r="F7" s="4"/>
      <c r="G7" s="6" t="s">
        <v>43</v>
      </c>
      <c r="H7" s="7" t="s">
        <v>4</v>
      </c>
      <c r="I7" s="4"/>
      <c r="J7" s="4"/>
      <c r="K7" s="4"/>
      <c r="L7" s="4"/>
    </row>
    <row r="8" spans="2:16" ht="15.75">
      <c r="C8" s="4"/>
      <c r="D8" s="4"/>
      <c r="E8" s="4"/>
      <c r="F8" s="4"/>
      <c r="G8" s="6" t="s">
        <v>43</v>
      </c>
      <c r="H8" s="7">
        <f>IF(D6="Unicaudal",TINV(2*D4,D5),TINV(D4,D5))</f>
        <v>2.1009220368611805</v>
      </c>
      <c r="I8" s="4"/>
      <c r="J8" s="4"/>
      <c r="K8" s="4"/>
      <c r="L8" s="4"/>
    </row>
    <row r="9" spans="2:16" ht="15.75">
      <c r="C9" s="4"/>
      <c r="D9" s="4"/>
      <c r="E9" s="4"/>
      <c r="F9" s="4"/>
      <c r="G9" s="4"/>
      <c r="H9" s="4"/>
      <c r="I9" s="4"/>
      <c r="J9" s="4"/>
      <c r="K9" s="4"/>
      <c r="L9" s="4"/>
    </row>
    <row r="10" spans="2:16" ht="15.75">
      <c r="C10" s="4"/>
      <c r="D10" s="4"/>
      <c r="E10" s="4"/>
      <c r="F10" s="4" t="s">
        <v>18</v>
      </c>
      <c r="G10" s="4"/>
      <c r="H10" s="4"/>
      <c r="I10" s="4"/>
      <c r="J10" s="4"/>
      <c r="K10" s="8"/>
      <c r="L10" s="4"/>
    </row>
    <row r="11" spans="2:16" ht="15.75">
      <c r="C11" s="4"/>
      <c r="D11" s="4"/>
      <c r="E11" s="4"/>
      <c r="F11" s="4"/>
      <c r="G11" s="4"/>
      <c r="H11" s="4"/>
      <c r="I11" s="4"/>
      <c r="J11" s="4"/>
      <c r="K11" s="8"/>
      <c r="L11" s="4"/>
    </row>
    <row r="12" spans="2:16" ht="15.75">
      <c r="C12" s="4"/>
      <c r="D12" s="4"/>
      <c r="E12" s="4"/>
      <c r="F12" s="4"/>
      <c r="G12" s="9" t="s">
        <v>6</v>
      </c>
      <c r="H12" s="10"/>
      <c r="I12" s="10"/>
      <c r="J12" s="10"/>
      <c r="K12" s="10"/>
      <c r="L12" s="11"/>
    </row>
    <row r="13" spans="2:16" ht="15.75">
      <c r="C13" s="4"/>
      <c r="D13" s="4"/>
      <c r="E13" s="4"/>
      <c r="F13" s="4"/>
      <c r="G13" s="12"/>
      <c r="H13" s="13"/>
      <c r="I13" s="13"/>
      <c r="J13" s="13"/>
      <c r="K13" s="14" t="s">
        <v>8</v>
      </c>
      <c r="L13" s="15"/>
    </row>
    <row r="14" spans="2:16" ht="15.75">
      <c r="C14" s="4"/>
      <c r="D14" s="4"/>
      <c r="E14" s="4"/>
      <c r="F14" s="4"/>
      <c r="G14" s="12"/>
      <c r="H14" s="16" t="s">
        <v>5</v>
      </c>
      <c r="I14" s="7">
        <f>(D2)*SQRT((D3-2)/(1-(D2^2)))</f>
        <v>2.1378804726552185</v>
      </c>
      <c r="J14" s="13"/>
      <c r="K14" s="6" t="str">
        <f>IF(OR(I14&gt;=H8,-I14&lt;=-H8),"Rejeita H0","Não Rejeita H0")</f>
        <v>Rejeita H0</v>
      </c>
      <c r="L14" s="17"/>
    </row>
    <row r="15" spans="2:16" ht="15.75">
      <c r="C15" s="4"/>
      <c r="D15" s="4"/>
      <c r="E15" s="4"/>
      <c r="F15" s="4"/>
      <c r="G15" s="18"/>
      <c r="H15" s="19"/>
      <c r="I15" s="20"/>
      <c r="J15" s="19"/>
      <c r="K15" s="21"/>
      <c r="L15" s="22"/>
    </row>
    <row r="16" spans="2:16" ht="15.75">
      <c r="C16" s="4"/>
      <c r="D16" s="4"/>
      <c r="E16" s="4"/>
      <c r="F16" s="4"/>
      <c r="G16" s="23"/>
      <c r="H16" s="13"/>
      <c r="I16" s="24"/>
      <c r="J16" s="13"/>
      <c r="K16" s="23"/>
      <c r="L16" s="13"/>
    </row>
    <row r="17" spans="3:12" ht="15.75">
      <c r="C17" s="4"/>
      <c r="D17" s="4"/>
      <c r="E17" s="4"/>
      <c r="F17" s="4"/>
      <c r="G17" s="9" t="s">
        <v>7</v>
      </c>
      <c r="H17" s="10"/>
      <c r="I17" s="25"/>
      <c r="J17" s="10"/>
      <c r="K17" s="26"/>
      <c r="L17" s="27"/>
    </row>
    <row r="18" spans="3:12" ht="15.75">
      <c r="C18" s="4"/>
      <c r="D18" s="4"/>
      <c r="E18" s="4"/>
      <c r="F18" s="4"/>
      <c r="G18" s="28"/>
      <c r="H18" s="13"/>
      <c r="I18" s="13"/>
      <c r="J18" s="13"/>
      <c r="K18" s="14" t="s">
        <v>8</v>
      </c>
      <c r="L18" s="15"/>
    </row>
    <row r="19" spans="3:12" ht="15.75">
      <c r="C19" s="4"/>
      <c r="D19" s="4"/>
      <c r="E19" s="4"/>
      <c r="F19" s="4"/>
      <c r="G19" s="12"/>
      <c r="H19" s="6" t="s">
        <v>42</v>
      </c>
      <c r="I19" s="7">
        <f>H8/(SQRT((H8^2)+D3-2))</f>
        <v>0.44376339876446896</v>
      </c>
      <c r="J19" s="13"/>
      <c r="K19" s="6" t="str">
        <f>IF(OR(D2&gt;=I19,-D2&lt;=-I19),"Rejeita H0","Não Rejeita H0")</f>
        <v>Rejeita H0</v>
      </c>
      <c r="L19" s="17"/>
    </row>
    <row r="20" spans="3:12" ht="15.75">
      <c r="C20" s="4"/>
      <c r="D20" s="4"/>
      <c r="E20" s="4"/>
      <c r="F20" s="4"/>
      <c r="G20" s="18"/>
      <c r="H20" s="19"/>
      <c r="I20" s="19"/>
      <c r="J20" s="19"/>
      <c r="K20" s="21"/>
      <c r="L20" s="22"/>
    </row>
    <row r="21" spans="3:12" ht="15.75"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3:12" ht="15.75">
      <c r="C22" s="4"/>
      <c r="D22" s="4"/>
      <c r="E22" s="4"/>
      <c r="F22" s="4" t="s">
        <v>19</v>
      </c>
      <c r="G22" s="4" t="s">
        <v>11</v>
      </c>
      <c r="H22" s="4"/>
      <c r="I22" s="4"/>
      <c r="J22" s="4"/>
      <c r="K22" s="4"/>
      <c r="L22" s="4"/>
    </row>
    <row r="23" spans="3:12" ht="15.75"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3:12" ht="15.75">
      <c r="C24" s="4"/>
      <c r="D24" s="4"/>
      <c r="E24" s="4"/>
      <c r="F24" s="4"/>
      <c r="G24" s="29"/>
      <c r="H24" s="10"/>
      <c r="I24" s="10"/>
      <c r="J24" s="10"/>
      <c r="K24" s="10"/>
      <c r="L24" s="27"/>
    </row>
    <row r="25" spans="3:12" ht="15.75">
      <c r="C25" s="4"/>
      <c r="D25" s="4"/>
      <c r="E25" s="4"/>
      <c r="F25" s="4"/>
      <c r="G25" s="28"/>
      <c r="H25" s="13"/>
      <c r="I25" s="13"/>
      <c r="J25" s="13"/>
      <c r="K25" s="14" t="s">
        <v>8</v>
      </c>
      <c r="L25" s="17"/>
    </row>
    <row r="26" spans="3:12" ht="15.75">
      <c r="C26" s="4"/>
      <c r="D26" s="4"/>
      <c r="E26" s="4"/>
      <c r="F26" s="4"/>
      <c r="G26" s="28"/>
      <c r="H26" s="5" t="s">
        <v>12</v>
      </c>
      <c r="I26" s="30">
        <f>IF(D6="Unicaudal",TDIST(ABS(I14),D5,1),TDIST(ABS(I14),D5,2))</f>
        <v>4.6496200950444905E-2</v>
      </c>
      <c r="J26" s="13"/>
      <c r="K26" s="6" t="str">
        <f>IF(I26&lt;0.05,"Rejeita H0","Não Rejeita H0")</f>
        <v>Rejeita H0</v>
      </c>
      <c r="L26" s="17"/>
    </row>
    <row r="27" spans="3:12" ht="15.75">
      <c r="C27" s="4"/>
      <c r="D27" s="4"/>
      <c r="E27" s="4"/>
      <c r="F27" s="4"/>
      <c r="G27" s="31"/>
      <c r="H27" s="19"/>
      <c r="I27" s="19"/>
      <c r="J27" s="19"/>
      <c r="K27" s="19"/>
      <c r="L27" s="22"/>
    </row>
    <row r="28" spans="3:12">
      <c r="F28" s="1"/>
      <c r="G28" s="2"/>
    </row>
  </sheetData>
  <conditionalFormatting sqref="K14 K19 K26">
    <cfRule type="cellIs" dxfId="3" priority="2" operator="equal">
      <formula>"Rejeita H0"</formula>
    </cfRule>
    <cfRule type="cellIs" dxfId="2" priority="1" operator="equal">
      <formula>"Não Rejeita H0"</formula>
    </cfRule>
  </conditionalFormatting>
  <dataValidations count="1">
    <dataValidation type="list" allowBlank="1" showInputMessage="1" showErrorMessage="1" promptTitle="Escolha o tipo de Distribuição t" sqref="D6">
      <formula1>$P$4:$P$5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B2:O60"/>
  <sheetViews>
    <sheetView showGridLines="0" workbookViewId="0">
      <selection activeCell="B2" sqref="B2:O2"/>
    </sheetView>
  </sheetViews>
  <sheetFormatPr defaultRowHeight="15"/>
  <cols>
    <col min="6" max="6" width="37.7109375" bestFit="1" customWidth="1"/>
    <col min="7" max="7" width="16.7109375" bestFit="1" customWidth="1"/>
    <col min="8" max="8" width="15.5703125" customWidth="1"/>
    <col min="9" max="9" width="15" customWidth="1"/>
    <col min="10" max="10" width="12" customWidth="1"/>
    <col min="11" max="11" width="12.28515625" customWidth="1"/>
  </cols>
  <sheetData>
    <row r="2" spans="2:15">
      <c r="B2" s="246" t="s">
        <v>325</v>
      </c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</row>
    <row r="4" spans="2:15">
      <c r="B4" s="246" t="s">
        <v>324</v>
      </c>
      <c r="C4" s="246"/>
      <c r="D4" s="246"/>
      <c r="F4" t="s">
        <v>326</v>
      </c>
    </row>
    <row r="5" spans="2:15">
      <c r="B5" s="182" t="s">
        <v>321</v>
      </c>
      <c r="C5" s="182" t="s">
        <v>322</v>
      </c>
      <c r="D5" s="182" t="s">
        <v>323</v>
      </c>
    </row>
    <row r="6" spans="2:15">
      <c r="B6" s="182">
        <v>1960</v>
      </c>
      <c r="C6" s="182">
        <v>0.5</v>
      </c>
      <c r="D6" s="182">
        <v>0.7</v>
      </c>
    </row>
    <row r="7" spans="2:15">
      <c r="B7" s="182">
        <v>1961</v>
      </c>
      <c r="C7" s="182">
        <v>3.2</v>
      </c>
      <c r="D7" s="182">
        <v>1.3</v>
      </c>
    </row>
    <row r="8" spans="2:15">
      <c r="B8" s="182">
        <v>1962</v>
      </c>
      <c r="C8" s="182">
        <v>1.8</v>
      </c>
      <c r="D8" s="182">
        <v>1.6</v>
      </c>
    </row>
    <row r="9" spans="2:15">
      <c r="B9" s="182">
        <v>1963</v>
      </c>
      <c r="C9" s="182">
        <v>3.7</v>
      </c>
      <c r="D9" s="182">
        <v>1</v>
      </c>
    </row>
    <row r="10" spans="2:15">
      <c r="B10" s="182">
        <v>1964</v>
      </c>
      <c r="C10" s="182">
        <v>4.5999999999999996</v>
      </c>
      <c r="D10" s="182">
        <v>1.9</v>
      </c>
    </row>
    <row r="11" spans="2:15">
      <c r="B11" s="182">
        <v>1965</v>
      </c>
      <c r="C11" s="182">
        <v>4.7</v>
      </c>
      <c r="D11" s="182">
        <v>3.5</v>
      </c>
    </row>
    <row r="12" spans="2:15">
      <c r="B12" s="182">
        <v>1966</v>
      </c>
      <c r="C12" s="182">
        <v>2.5</v>
      </c>
      <c r="D12" s="182">
        <v>3</v>
      </c>
    </row>
    <row r="13" spans="2:15">
      <c r="B13" s="182">
        <v>1967</v>
      </c>
      <c r="C13" s="182">
        <v>6.6</v>
      </c>
      <c r="D13" s="182">
        <v>4.7</v>
      </c>
    </row>
    <row r="14" spans="2:15">
      <c r="B14" s="182">
        <v>1968</v>
      </c>
      <c r="C14" s="182">
        <v>7.7</v>
      </c>
      <c r="D14" s="182">
        <v>6.2</v>
      </c>
    </row>
    <row r="15" spans="2:15">
      <c r="B15" s="182">
        <v>1969</v>
      </c>
      <c r="C15" s="182">
        <v>3.3</v>
      </c>
      <c r="D15" s="182">
        <v>5.6</v>
      </c>
    </row>
    <row r="16" spans="2:15">
      <c r="B16" s="182">
        <v>1970</v>
      </c>
      <c r="C16" s="182">
        <v>5.0999999999999996</v>
      </c>
      <c r="D16" s="182">
        <v>3.3</v>
      </c>
    </row>
    <row r="17" spans="2:11">
      <c r="B17" s="182">
        <v>1971</v>
      </c>
      <c r="C17" s="182">
        <v>6.5</v>
      </c>
      <c r="D17" s="182">
        <v>3.4</v>
      </c>
    </row>
    <row r="18" spans="2:11">
      <c r="B18" s="182">
        <v>1972</v>
      </c>
      <c r="C18" s="182">
        <v>9.1999999999999993</v>
      </c>
      <c r="D18" s="182">
        <v>8.6999999999999993</v>
      </c>
    </row>
    <row r="19" spans="2:11">
      <c r="B19" s="182">
        <v>1973</v>
      </c>
      <c r="C19" s="182">
        <v>5.5</v>
      </c>
      <c r="D19" s="182">
        <v>12.3</v>
      </c>
    </row>
    <row r="20" spans="2:11">
      <c r="B20" s="182">
        <v>1974</v>
      </c>
      <c r="C20" s="182">
        <v>4.3</v>
      </c>
      <c r="D20" s="182">
        <v>6.9</v>
      </c>
    </row>
    <row r="21" spans="2:11">
      <c r="B21" s="182">
        <v>1975</v>
      </c>
      <c r="C21" s="182">
        <v>4.7</v>
      </c>
      <c r="D21" s="182">
        <v>4.9000000000000004</v>
      </c>
      <c r="F21" t="s">
        <v>327</v>
      </c>
    </row>
    <row r="22" spans="2:11">
      <c r="B22" s="182">
        <v>1976</v>
      </c>
      <c r="C22" s="182">
        <v>6.7</v>
      </c>
      <c r="D22" s="182">
        <v>6.7</v>
      </c>
    </row>
    <row r="23" spans="2:11" ht="15.75">
      <c r="B23" s="182">
        <v>1977</v>
      </c>
      <c r="C23" s="182">
        <v>8</v>
      </c>
      <c r="D23" s="182">
        <v>9</v>
      </c>
      <c r="F23" s="56" t="s">
        <v>221</v>
      </c>
    </row>
    <row r="24" spans="2:11">
      <c r="B24" s="182">
        <v>1978</v>
      </c>
      <c r="C24" s="182">
        <v>8</v>
      </c>
      <c r="D24" s="182">
        <v>13.3</v>
      </c>
    </row>
    <row r="25" spans="2:11">
      <c r="B25" s="182">
        <v>1979</v>
      </c>
      <c r="C25" s="182">
        <v>6.9</v>
      </c>
      <c r="D25" s="182">
        <v>12.5</v>
      </c>
      <c r="F25" s="81" t="s">
        <v>59</v>
      </c>
    </row>
    <row r="26" spans="2:11" ht="15.75" thickBot="1">
      <c r="B26" s="182">
        <v>1980</v>
      </c>
      <c r="C26" s="182">
        <v>7</v>
      </c>
      <c r="D26" s="182">
        <v>8.9</v>
      </c>
    </row>
    <row r="27" spans="2:11">
      <c r="B27" s="182">
        <v>1981</v>
      </c>
      <c r="C27" s="182">
        <v>6.9</v>
      </c>
      <c r="D27" s="182">
        <v>3.8</v>
      </c>
      <c r="F27" s="254" t="s">
        <v>222</v>
      </c>
      <c r="G27" s="255"/>
      <c r="H27" s="255"/>
      <c r="I27" s="255"/>
      <c r="J27" s="255"/>
      <c r="K27" s="256"/>
    </row>
    <row r="28" spans="2:11">
      <c r="B28" s="182">
        <v>1982</v>
      </c>
      <c r="C28" s="182">
        <v>8.6999999999999993</v>
      </c>
      <c r="D28" s="182">
        <v>3.8</v>
      </c>
      <c r="F28" s="193" t="s">
        <v>223</v>
      </c>
      <c r="G28" s="194" t="s">
        <v>225</v>
      </c>
      <c r="H28" s="194" t="s">
        <v>226</v>
      </c>
      <c r="I28" s="194" t="s">
        <v>227</v>
      </c>
      <c r="J28" s="194" t="s">
        <v>228</v>
      </c>
      <c r="K28" s="195" t="s">
        <v>210</v>
      </c>
    </row>
    <row r="29" spans="2:11">
      <c r="B29" s="182">
        <v>1983</v>
      </c>
      <c r="C29" s="182">
        <v>9.8000000000000007</v>
      </c>
      <c r="D29" s="182">
        <v>3.9</v>
      </c>
      <c r="F29" s="183" t="s">
        <v>322</v>
      </c>
      <c r="G29" s="184">
        <v>1</v>
      </c>
      <c r="H29" s="94">
        <v>29.632288019201663</v>
      </c>
      <c r="I29" s="94">
        <v>29.632288019201663</v>
      </c>
      <c r="J29" s="94">
        <v>3.1722445659814635</v>
      </c>
      <c r="K29" s="95">
        <v>8.2689349666799056E-2</v>
      </c>
    </row>
    <row r="30" spans="2:11" ht="15.75" thickBot="1">
      <c r="B30" s="182">
        <v>1984</v>
      </c>
      <c r="C30" s="182">
        <v>5.8</v>
      </c>
      <c r="D30" s="182">
        <v>3.8</v>
      </c>
      <c r="F30" s="91" t="s">
        <v>224</v>
      </c>
      <c r="G30" s="92">
        <v>39</v>
      </c>
      <c r="H30" s="96">
        <v>364.30332173689595</v>
      </c>
      <c r="I30" s="96">
        <v>9.3411108137665622</v>
      </c>
      <c r="J30" s="96"/>
      <c r="K30" s="200"/>
    </row>
    <row r="31" spans="2:11">
      <c r="B31" s="182">
        <v>1985</v>
      </c>
      <c r="C31" s="182">
        <v>12.3</v>
      </c>
      <c r="D31" s="182">
        <v>1.1000000000000001</v>
      </c>
    </row>
    <row r="32" spans="2:11" ht="15.75" thickBot="1">
      <c r="B32" s="182">
        <v>1986</v>
      </c>
      <c r="C32" s="182">
        <v>16.899999999999999</v>
      </c>
      <c r="D32" s="182">
        <v>4.4000000000000004</v>
      </c>
    </row>
    <row r="33" spans="2:11">
      <c r="B33" s="182">
        <v>1987</v>
      </c>
      <c r="C33" s="182">
        <v>3.5</v>
      </c>
      <c r="D33" s="182">
        <v>4.4000000000000004</v>
      </c>
      <c r="F33" s="254" t="s">
        <v>211</v>
      </c>
      <c r="G33" s="255"/>
      <c r="H33" s="255"/>
      <c r="I33" s="255"/>
      <c r="J33" s="255"/>
      <c r="K33" s="256"/>
    </row>
    <row r="34" spans="2:11">
      <c r="B34" s="182">
        <v>1988</v>
      </c>
      <c r="C34" s="182">
        <v>4.9000000000000004</v>
      </c>
      <c r="D34" s="182">
        <v>4.5999999999999996</v>
      </c>
      <c r="F34" s="193" t="s">
        <v>212</v>
      </c>
      <c r="G34" s="194" t="s">
        <v>213</v>
      </c>
      <c r="H34" s="194" t="s">
        <v>31</v>
      </c>
      <c r="I34" s="194" t="s">
        <v>214</v>
      </c>
      <c r="J34" s="194" t="s">
        <v>215</v>
      </c>
      <c r="K34" s="195" t="s">
        <v>216</v>
      </c>
    </row>
    <row r="35" spans="2:11" ht="15.75" thickBot="1">
      <c r="B35" s="182">
        <v>1989</v>
      </c>
      <c r="C35" s="182">
        <v>0.8</v>
      </c>
      <c r="D35" s="182">
        <v>6.1</v>
      </c>
      <c r="F35" s="91">
        <v>-4.7880000000000003</v>
      </c>
      <c r="G35" s="92">
        <v>-1.6970000000000001</v>
      </c>
      <c r="H35" s="92">
        <v>-0.93510000000000004</v>
      </c>
      <c r="I35" s="92">
        <v>2.0179999999999999E-17</v>
      </c>
      <c r="J35" s="92">
        <v>1.2290000000000001</v>
      </c>
      <c r="K35" s="93">
        <v>8.2690000000000001</v>
      </c>
    </row>
    <row r="36" spans="2:11">
      <c r="B36" s="182">
        <v>1990</v>
      </c>
      <c r="C36" s="182">
        <v>4</v>
      </c>
      <c r="D36" s="182">
        <v>3.1</v>
      </c>
    </row>
    <row r="37" spans="2:11" ht="15.75" thickBot="1">
      <c r="B37" s="182">
        <v>1991</v>
      </c>
      <c r="C37" s="182">
        <v>8.6999999999999993</v>
      </c>
      <c r="D37" s="182">
        <v>2.9</v>
      </c>
    </row>
    <row r="38" spans="2:11">
      <c r="B38" s="182">
        <v>1992</v>
      </c>
      <c r="C38" s="182">
        <v>14.3</v>
      </c>
      <c r="D38" s="182">
        <v>2.7</v>
      </c>
      <c r="F38" s="254" t="s">
        <v>206</v>
      </c>
      <c r="G38" s="255"/>
      <c r="H38" s="255"/>
      <c r="I38" s="255"/>
      <c r="J38" s="256"/>
    </row>
    <row r="39" spans="2:11">
      <c r="B39" s="182">
        <v>1993</v>
      </c>
      <c r="C39" s="182">
        <v>10.3</v>
      </c>
      <c r="D39" s="182">
        <v>2.7</v>
      </c>
      <c r="F39" s="193" t="s">
        <v>230</v>
      </c>
      <c r="G39" s="194" t="s">
        <v>207</v>
      </c>
      <c r="H39" s="194" t="s">
        <v>208</v>
      </c>
      <c r="I39" s="194" t="s">
        <v>209</v>
      </c>
      <c r="J39" s="195" t="s">
        <v>210</v>
      </c>
    </row>
    <row r="40" spans="2:11">
      <c r="B40" s="182">
        <v>1994</v>
      </c>
      <c r="C40" s="182">
        <v>1.8</v>
      </c>
      <c r="D40" s="182">
        <v>2.5</v>
      </c>
      <c r="F40" s="183" t="s">
        <v>229</v>
      </c>
      <c r="G40" s="94">
        <v>3.4368218438041289</v>
      </c>
      <c r="H40" s="94">
        <v>0.75365443148412758</v>
      </c>
      <c r="I40" s="94">
        <v>4.5602091624886976</v>
      </c>
      <c r="J40" s="95">
        <v>4.961718529747197E-5</v>
      </c>
    </row>
    <row r="41" spans="2:11" ht="15.75" thickBot="1">
      <c r="B41" s="182">
        <v>1995</v>
      </c>
      <c r="C41" s="182">
        <v>-2.1</v>
      </c>
      <c r="D41" s="182">
        <v>3.3</v>
      </c>
      <c r="F41" s="91" t="s">
        <v>322</v>
      </c>
      <c r="G41" s="96">
        <v>0.19929950586818312</v>
      </c>
      <c r="H41" s="96">
        <v>0.11189814598981569</v>
      </c>
      <c r="I41" s="96">
        <v>1.7810796068624961</v>
      </c>
      <c r="J41" s="200">
        <v>8.2689349666799014E-2</v>
      </c>
    </row>
    <row r="42" spans="2:11">
      <c r="B42" s="182">
        <v>1996</v>
      </c>
      <c r="C42" s="182">
        <v>-4.0999999999999996</v>
      </c>
      <c r="D42" s="182">
        <v>1.7</v>
      </c>
    </row>
    <row r="43" spans="2:11" ht="15.75" thickBot="1">
      <c r="B43" s="182">
        <v>1997</v>
      </c>
      <c r="C43" s="182">
        <v>-0.7</v>
      </c>
      <c r="D43" s="182">
        <v>1.6</v>
      </c>
    </row>
    <row r="44" spans="2:11">
      <c r="B44" s="182">
        <v>1998</v>
      </c>
      <c r="C44" s="182">
        <v>2.2000000000000002</v>
      </c>
      <c r="D44" s="182">
        <v>2.7</v>
      </c>
      <c r="F44" s="196" t="s">
        <v>217</v>
      </c>
      <c r="G44" s="197" t="s">
        <v>218</v>
      </c>
      <c r="H44" s="197" t="s">
        <v>219</v>
      </c>
      <c r="I44" s="198" t="s">
        <v>220</v>
      </c>
    </row>
    <row r="45" spans="2:11" ht="15.75" thickBot="1">
      <c r="B45" s="182">
        <v>1999</v>
      </c>
      <c r="C45" s="182">
        <v>2.5</v>
      </c>
      <c r="D45" s="182">
        <v>3.4</v>
      </c>
      <c r="F45" s="199">
        <v>3.0563230872678631</v>
      </c>
      <c r="G45" s="92">
        <v>39</v>
      </c>
      <c r="H45" s="96">
        <v>7.5221146007968878E-2</v>
      </c>
      <c r="I45" s="200">
        <v>5.150886770048102E-2</v>
      </c>
    </row>
    <row r="46" spans="2:11">
      <c r="B46" s="182">
        <v>2000</v>
      </c>
      <c r="C46" s="182">
        <v>-3.3</v>
      </c>
      <c r="D46" s="182">
        <v>1.6</v>
      </c>
    </row>
    <row r="47" spans="2:11" ht="15.75" thickBot="1"/>
    <row r="48" spans="2:11">
      <c r="F48" s="254" t="s">
        <v>350</v>
      </c>
      <c r="G48" s="255"/>
      <c r="H48" s="255"/>
      <c r="I48" s="255"/>
      <c r="J48" s="255"/>
      <c r="K48" s="256"/>
    </row>
    <row r="49" spans="6:11">
      <c r="F49" s="193"/>
      <c r="G49" s="194" t="s">
        <v>225</v>
      </c>
      <c r="H49" s="194" t="s">
        <v>226</v>
      </c>
      <c r="I49" s="194" t="s">
        <v>227</v>
      </c>
      <c r="J49" s="194" t="s">
        <v>228</v>
      </c>
      <c r="K49" s="195" t="s">
        <v>210</v>
      </c>
    </row>
    <row r="50" spans="6:11">
      <c r="F50" s="183" t="s">
        <v>322</v>
      </c>
      <c r="G50" s="184">
        <v>1</v>
      </c>
      <c r="H50" s="184">
        <v>29.632288019201663</v>
      </c>
      <c r="I50" s="184">
        <v>29.632288019201663</v>
      </c>
      <c r="J50" s="184">
        <v>3.6314078454903944</v>
      </c>
      <c r="K50" s="185">
        <v>0.10534496672027109</v>
      </c>
    </row>
    <row r="51" spans="6:11">
      <c r="F51" s="183" t="s">
        <v>211</v>
      </c>
      <c r="G51" s="184">
        <v>39</v>
      </c>
      <c r="H51" s="184">
        <v>364.30332173689595</v>
      </c>
      <c r="I51" s="184">
        <v>9.3411108137665622</v>
      </c>
      <c r="J51" s="184"/>
      <c r="K51" s="185"/>
    </row>
    <row r="52" spans="6:11">
      <c r="F52" s="183" t="s">
        <v>351</v>
      </c>
      <c r="G52" s="184">
        <v>33</v>
      </c>
      <c r="H52" s="184">
        <v>315.34332173689586</v>
      </c>
      <c r="I52" s="184">
        <v>9.5558582344513905</v>
      </c>
      <c r="J52" s="184">
        <v>1.171061058143551</v>
      </c>
      <c r="K52" s="185">
        <v>0.46161294791093921</v>
      </c>
    </row>
    <row r="53" spans="6:11" ht="15.75" thickBot="1">
      <c r="F53" s="91" t="s">
        <v>352</v>
      </c>
      <c r="G53" s="92">
        <v>6</v>
      </c>
      <c r="H53" s="92">
        <v>48.960000000000072</v>
      </c>
      <c r="I53" s="92">
        <v>8.1600000000000126</v>
      </c>
      <c r="J53" s="92"/>
      <c r="K53" s="93"/>
    </row>
    <row r="55" spans="6:11" ht="15.75" thickBot="1"/>
    <row r="56" spans="6:11">
      <c r="F56" s="254" t="s">
        <v>353</v>
      </c>
      <c r="G56" s="255"/>
      <c r="H56" s="256"/>
    </row>
    <row r="57" spans="6:11">
      <c r="F57" s="193" t="s">
        <v>334</v>
      </c>
      <c r="G57" s="194" t="s">
        <v>354</v>
      </c>
      <c r="H57" s="195" t="s">
        <v>355</v>
      </c>
    </row>
    <row r="58" spans="6:11">
      <c r="F58" s="183">
        <v>19</v>
      </c>
      <c r="G58" s="184">
        <v>3.0286455767498799</v>
      </c>
      <c r="H58" s="185">
        <v>0.18036407361237106</v>
      </c>
    </row>
    <row r="59" spans="6:11">
      <c r="F59" s="183">
        <v>14</v>
      </c>
      <c r="G59" s="184">
        <v>2.7873951272161066</v>
      </c>
      <c r="H59" s="185">
        <v>0.33826415357192818</v>
      </c>
    </row>
    <row r="60" spans="6:11" ht="15.75" thickBot="1">
      <c r="F60" s="91">
        <v>20</v>
      </c>
      <c r="G60" s="92">
        <v>2.7596422342860887</v>
      </c>
      <c r="H60" s="93">
        <v>0.36304220499156692</v>
      </c>
    </row>
  </sheetData>
  <mergeCells count="7">
    <mergeCell ref="F48:K48"/>
    <mergeCell ref="F56:H56"/>
    <mergeCell ref="B4:D4"/>
    <mergeCell ref="B2:O2"/>
    <mergeCell ref="F27:K27"/>
    <mergeCell ref="F33:K33"/>
    <mergeCell ref="F38:J38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2:L67"/>
  <sheetViews>
    <sheetView showGridLines="0" workbookViewId="0">
      <selection activeCell="B2" sqref="B2:D2"/>
    </sheetView>
  </sheetViews>
  <sheetFormatPr defaultRowHeight="15"/>
  <cols>
    <col min="6" max="6" width="24.85546875" style="189" bestFit="1" customWidth="1"/>
    <col min="7" max="8" width="12" style="189" bestFit="1" customWidth="1"/>
    <col min="9" max="9" width="16.28515625" style="189" bestFit="1" customWidth="1"/>
    <col min="10" max="10" width="7.85546875" style="189" bestFit="1" customWidth="1"/>
    <col min="11" max="11" width="16" style="189" bestFit="1" customWidth="1"/>
    <col min="12" max="12" width="14.7109375" style="156" bestFit="1" customWidth="1"/>
  </cols>
  <sheetData>
    <row r="2" spans="2:11">
      <c r="B2" s="246" t="s">
        <v>324</v>
      </c>
      <c r="C2" s="246"/>
      <c r="D2" s="246"/>
    </row>
    <row r="3" spans="2:11">
      <c r="B3" s="178" t="s">
        <v>321</v>
      </c>
      <c r="C3" s="178" t="s">
        <v>322</v>
      </c>
      <c r="D3" s="178" t="s">
        <v>323</v>
      </c>
      <c r="F3" s="189" t="s">
        <v>328</v>
      </c>
    </row>
    <row r="4" spans="2:11" ht="15.75" thickBot="1">
      <c r="B4" s="178">
        <v>1960</v>
      </c>
      <c r="C4" s="178">
        <v>0.5</v>
      </c>
      <c r="D4" s="178">
        <v>0.7</v>
      </c>
    </row>
    <row r="5" spans="2:11">
      <c r="B5" s="178">
        <v>1961</v>
      </c>
      <c r="C5" s="178">
        <v>3.2</v>
      </c>
      <c r="D5" s="178">
        <v>1.3</v>
      </c>
      <c r="F5" s="188" t="s">
        <v>329</v>
      </c>
      <c r="G5" s="188"/>
    </row>
    <row r="6" spans="2:11">
      <c r="B6" s="178">
        <v>1962</v>
      </c>
      <c r="C6" s="178">
        <v>1.8</v>
      </c>
      <c r="D6" s="178">
        <v>1.6</v>
      </c>
      <c r="F6" s="190" t="s">
        <v>330</v>
      </c>
      <c r="G6" s="190">
        <v>0.27426473708438831</v>
      </c>
    </row>
    <row r="7" spans="2:11">
      <c r="B7" s="178">
        <v>1963</v>
      </c>
      <c r="C7" s="178">
        <v>3.7</v>
      </c>
      <c r="D7" s="178">
        <v>1</v>
      </c>
      <c r="F7" s="190" t="s">
        <v>331</v>
      </c>
      <c r="G7" s="190">
        <v>7.5221146007968642E-2</v>
      </c>
    </row>
    <row r="8" spans="2:11">
      <c r="B8" s="178">
        <v>1964</v>
      </c>
      <c r="C8" s="178">
        <v>4.5999999999999996</v>
      </c>
      <c r="D8" s="178">
        <v>1.9</v>
      </c>
      <c r="F8" s="190" t="s">
        <v>332</v>
      </c>
      <c r="G8" s="190">
        <v>5.1508867700480659E-2</v>
      </c>
    </row>
    <row r="9" spans="2:11">
      <c r="B9" s="178">
        <v>1965</v>
      </c>
      <c r="C9" s="178">
        <v>4.7</v>
      </c>
      <c r="D9" s="178">
        <v>3.5</v>
      </c>
      <c r="F9" s="190" t="s">
        <v>333</v>
      </c>
      <c r="G9" s="190">
        <v>3.0563230872678626</v>
      </c>
    </row>
    <row r="10" spans="2:11" ht="15.75" thickBot="1">
      <c r="B10" s="178">
        <v>1966</v>
      </c>
      <c r="C10" s="178">
        <v>2.5</v>
      </c>
      <c r="D10" s="178">
        <v>3</v>
      </c>
      <c r="F10" s="191" t="s">
        <v>334</v>
      </c>
      <c r="G10" s="191">
        <v>41</v>
      </c>
    </row>
    <row r="11" spans="2:11">
      <c r="B11" s="178">
        <v>1967</v>
      </c>
      <c r="C11" s="178">
        <v>6.6</v>
      </c>
      <c r="D11" s="178">
        <v>4.7</v>
      </c>
    </row>
    <row r="12" spans="2:11" ht="15.75" thickBot="1">
      <c r="B12" s="178">
        <v>1968</v>
      </c>
      <c r="C12" s="178">
        <v>7.7</v>
      </c>
      <c r="D12" s="178">
        <v>6.2</v>
      </c>
      <c r="F12" s="189" t="s">
        <v>335</v>
      </c>
    </row>
    <row r="13" spans="2:11">
      <c r="B13" s="178">
        <v>1969</v>
      </c>
      <c r="C13" s="178">
        <v>3.3</v>
      </c>
      <c r="D13" s="178">
        <v>5.6</v>
      </c>
      <c r="F13" s="188"/>
      <c r="G13" s="188" t="s">
        <v>3</v>
      </c>
      <c r="H13" s="188" t="s">
        <v>295</v>
      </c>
      <c r="I13" s="188" t="s">
        <v>337</v>
      </c>
      <c r="J13" s="188" t="s">
        <v>290</v>
      </c>
      <c r="K13" s="188" t="s">
        <v>338</v>
      </c>
    </row>
    <row r="14" spans="2:11">
      <c r="B14" s="178">
        <v>1970</v>
      </c>
      <c r="C14" s="178">
        <v>5.0999999999999996</v>
      </c>
      <c r="D14" s="178">
        <v>3.3</v>
      </c>
      <c r="F14" s="190" t="s">
        <v>291</v>
      </c>
      <c r="G14" s="190">
        <v>1</v>
      </c>
      <c r="H14" s="190">
        <v>29.632288019201553</v>
      </c>
      <c r="I14" s="190">
        <v>29.632288019201553</v>
      </c>
      <c r="J14" s="190">
        <v>3.1722445659814529</v>
      </c>
      <c r="K14" s="190">
        <v>8.2689343340813265E-2</v>
      </c>
    </row>
    <row r="15" spans="2:11">
      <c r="B15" s="178">
        <v>1971</v>
      </c>
      <c r="C15" s="178">
        <v>6.5</v>
      </c>
      <c r="D15" s="178">
        <v>3.4</v>
      </c>
      <c r="F15" s="190" t="s">
        <v>292</v>
      </c>
      <c r="G15" s="190">
        <v>39</v>
      </c>
      <c r="H15" s="190">
        <v>364.30332173689578</v>
      </c>
      <c r="I15" s="190">
        <v>9.3411108137665586</v>
      </c>
      <c r="J15" s="190"/>
      <c r="K15" s="190"/>
    </row>
    <row r="16" spans="2:11" ht="15.75" thickBot="1">
      <c r="B16" s="178">
        <v>1972</v>
      </c>
      <c r="C16" s="178">
        <v>9.1999999999999993</v>
      </c>
      <c r="D16" s="178">
        <v>8.6999999999999993</v>
      </c>
      <c r="F16" s="191" t="s">
        <v>293</v>
      </c>
      <c r="G16" s="191">
        <v>40</v>
      </c>
      <c r="H16" s="191">
        <v>393.93560975609734</v>
      </c>
      <c r="I16" s="191"/>
      <c r="J16" s="191"/>
      <c r="K16" s="191"/>
    </row>
    <row r="17" spans="2:12" ht="15.75" thickBot="1">
      <c r="B17" s="178">
        <v>1973</v>
      </c>
      <c r="C17" s="178">
        <v>5.5</v>
      </c>
      <c r="D17" s="178">
        <v>12.3</v>
      </c>
    </row>
    <row r="18" spans="2:12">
      <c r="B18" s="178">
        <v>1974</v>
      </c>
      <c r="C18" s="178">
        <v>4.3</v>
      </c>
      <c r="D18" s="178">
        <v>6.9</v>
      </c>
      <c r="F18" s="188"/>
      <c r="G18" s="188" t="s">
        <v>206</v>
      </c>
      <c r="H18" s="188" t="s">
        <v>333</v>
      </c>
      <c r="I18" s="188" t="s">
        <v>339</v>
      </c>
      <c r="J18" s="188" t="s">
        <v>340</v>
      </c>
      <c r="K18" s="188" t="s">
        <v>341</v>
      </c>
      <c r="L18" s="187" t="s">
        <v>342</v>
      </c>
    </row>
    <row r="19" spans="2:12">
      <c r="B19" s="178">
        <v>1975</v>
      </c>
      <c r="C19" s="178">
        <v>4.7</v>
      </c>
      <c r="D19" s="178">
        <v>4.9000000000000004</v>
      </c>
      <c r="F19" s="190" t="s">
        <v>336</v>
      </c>
      <c r="G19" s="190">
        <v>3.4368218438041276</v>
      </c>
      <c r="H19" s="190">
        <v>0.75365443148412736</v>
      </c>
      <c r="I19" s="190">
        <v>4.5602091624886967</v>
      </c>
      <c r="J19" s="190">
        <v>4.9617185267046851E-5</v>
      </c>
      <c r="K19" s="190">
        <v>1.9124118825604388</v>
      </c>
      <c r="L19" s="170">
        <v>4.9612318050478166</v>
      </c>
    </row>
    <row r="20" spans="2:12" ht="15.75" thickBot="1">
      <c r="B20" s="178">
        <v>1976</v>
      </c>
      <c r="C20" s="178">
        <v>6.7</v>
      </c>
      <c r="D20" s="178">
        <v>6.7</v>
      </c>
      <c r="F20" s="191" t="s">
        <v>343</v>
      </c>
      <c r="G20" s="191">
        <v>0.19929950586818301</v>
      </c>
      <c r="H20" s="191">
        <v>0.11189814598981566</v>
      </c>
      <c r="I20" s="191">
        <v>1.7810796068624954</v>
      </c>
      <c r="J20" s="191">
        <v>8.2689343340812183E-2</v>
      </c>
      <c r="K20" s="191">
        <v>-2.7035855891270888E-2</v>
      </c>
      <c r="L20" s="192">
        <v>0.42563486762763691</v>
      </c>
    </row>
    <row r="21" spans="2:12">
      <c r="B21" s="178">
        <v>1977</v>
      </c>
      <c r="C21" s="178">
        <v>8</v>
      </c>
      <c r="D21" s="178">
        <v>9</v>
      </c>
    </row>
    <row r="22" spans="2:12">
      <c r="B22" s="178">
        <v>1978</v>
      </c>
      <c r="C22" s="178">
        <v>8</v>
      </c>
      <c r="D22" s="178">
        <v>13.3</v>
      </c>
    </row>
    <row r="23" spans="2:12">
      <c r="B23" s="178">
        <v>1979</v>
      </c>
      <c r="C23" s="178">
        <v>6.9</v>
      </c>
      <c r="D23" s="178">
        <v>12.5</v>
      </c>
    </row>
    <row r="24" spans="2:12">
      <c r="B24" s="178">
        <v>1980</v>
      </c>
      <c r="C24" s="178">
        <v>7</v>
      </c>
      <c r="D24" s="178">
        <v>8.9</v>
      </c>
      <c r="F24" s="189" t="s">
        <v>344</v>
      </c>
      <c r="K24" s="257" t="s">
        <v>348</v>
      </c>
      <c r="L24" s="257"/>
    </row>
    <row r="25" spans="2:12" ht="15.75" thickBot="1">
      <c r="B25" s="178">
        <v>1981</v>
      </c>
      <c r="C25" s="178">
        <v>6.9</v>
      </c>
      <c r="D25" s="178">
        <v>3.8</v>
      </c>
    </row>
    <row r="26" spans="2:12">
      <c r="B26" s="178">
        <v>1982</v>
      </c>
      <c r="C26" s="178">
        <v>8.6999999999999993</v>
      </c>
      <c r="D26" s="178">
        <v>3.8</v>
      </c>
      <c r="F26" s="188" t="s">
        <v>345</v>
      </c>
      <c r="G26" s="188" t="s">
        <v>346</v>
      </c>
      <c r="H26" s="188" t="s">
        <v>211</v>
      </c>
      <c r="I26" s="188" t="s">
        <v>347</v>
      </c>
      <c r="K26" s="188" t="s">
        <v>349</v>
      </c>
      <c r="L26" s="187" t="s">
        <v>25</v>
      </c>
    </row>
    <row r="27" spans="2:12">
      <c r="B27" s="178">
        <v>1983</v>
      </c>
      <c r="C27" s="178">
        <v>9.8000000000000007</v>
      </c>
      <c r="D27" s="178">
        <v>3.9</v>
      </c>
      <c r="F27" s="190">
        <v>1</v>
      </c>
      <c r="G27" s="190">
        <v>3.536471596738219</v>
      </c>
      <c r="H27" s="190">
        <v>-2.8364715967382192</v>
      </c>
      <c r="I27" s="190">
        <v>-0.93988965420516724</v>
      </c>
      <c r="K27" s="190">
        <v>1.2195121951219512</v>
      </c>
      <c r="L27" s="170">
        <v>0.7</v>
      </c>
    </row>
    <row r="28" spans="2:12">
      <c r="B28" s="178">
        <v>1984</v>
      </c>
      <c r="C28" s="178">
        <v>5.8</v>
      </c>
      <c r="D28" s="178">
        <v>3.8</v>
      </c>
      <c r="F28" s="190">
        <v>2</v>
      </c>
      <c r="G28" s="190">
        <v>4.0745802625823133</v>
      </c>
      <c r="H28" s="190">
        <v>-2.7745802625823135</v>
      </c>
      <c r="I28" s="190">
        <v>-0.91938141970531051</v>
      </c>
      <c r="K28" s="190">
        <v>3.6585365853658534</v>
      </c>
      <c r="L28" s="170">
        <v>1</v>
      </c>
    </row>
    <row r="29" spans="2:12">
      <c r="B29" s="178">
        <v>1985</v>
      </c>
      <c r="C29" s="178">
        <v>12.3</v>
      </c>
      <c r="D29" s="178">
        <v>1.1000000000000001</v>
      </c>
      <c r="F29" s="190">
        <v>3</v>
      </c>
      <c r="G29" s="190">
        <v>3.7955609543668571</v>
      </c>
      <c r="H29" s="190">
        <v>-2.1955609543668571</v>
      </c>
      <c r="I29" s="190">
        <v>-0.72751831132708589</v>
      </c>
      <c r="K29" s="190">
        <v>6.0975609756097562</v>
      </c>
      <c r="L29" s="170">
        <v>1.1000000000000001</v>
      </c>
    </row>
    <row r="30" spans="2:12">
      <c r="B30" s="178">
        <v>1986</v>
      </c>
      <c r="C30" s="178">
        <v>16.899999999999999</v>
      </c>
      <c r="D30" s="178">
        <v>4.4000000000000004</v>
      </c>
      <c r="F30" s="190">
        <v>4</v>
      </c>
      <c r="G30" s="190">
        <v>4.1742300155164047</v>
      </c>
      <c r="H30" s="190">
        <v>-3.1742300155164047</v>
      </c>
      <c r="I30" s="190">
        <v>-1.0518088582597289</v>
      </c>
      <c r="K30" s="190">
        <v>8.5365853658536572</v>
      </c>
      <c r="L30" s="170">
        <v>1.3</v>
      </c>
    </row>
    <row r="31" spans="2:12">
      <c r="B31" s="178">
        <v>1987</v>
      </c>
      <c r="C31" s="178">
        <v>3.5</v>
      </c>
      <c r="D31" s="178">
        <v>4.4000000000000004</v>
      </c>
      <c r="F31" s="190">
        <v>5</v>
      </c>
      <c r="G31" s="190">
        <v>4.353599570797769</v>
      </c>
      <c r="H31" s="190">
        <v>-2.4535995707977691</v>
      </c>
      <c r="I31" s="190">
        <v>-0.81302166212662252</v>
      </c>
      <c r="K31" s="190">
        <v>10.97560975609756</v>
      </c>
      <c r="L31" s="170">
        <v>1.6</v>
      </c>
    </row>
    <row r="32" spans="2:12">
      <c r="B32" s="178">
        <v>1988</v>
      </c>
      <c r="C32" s="178">
        <v>4.9000000000000004</v>
      </c>
      <c r="D32" s="178">
        <v>4.5999999999999996</v>
      </c>
      <c r="F32" s="190">
        <v>6</v>
      </c>
      <c r="G32" s="190">
        <v>4.3735295213845875</v>
      </c>
      <c r="H32" s="190">
        <v>-0.8735295213845875</v>
      </c>
      <c r="I32" s="190">
        <v>-0.28945164151697939</v>
      </c>
      <c r="K32" s="190">
        <v>13.414634146341463</v>
      </c>
      <c r="L32" s="170">
        <v>1.6</v>
      </c>
    </row>
    <row r="33" spans="2:12">
      <c r="B33" s="178">
        <v>1989</v>
      </c>
      <c r="C33" s="178">
        <v>0.8</v>
      </c>
      <c r="D33" s="178">
        <v>6.1</v>
      </c>
      <c r="F33" s="190">
        <v>7</v>
      </c>
      <c r="G33" s="190">
        <v>3.935070608474585</v>
      </c>
      <c r="H33" s="190">
        <v>-0.93507060847458501</v>
      </c>
      <c r="I33" s="190">
        <v>-0.30984381859040494</v>
      </c>
      <c r="K33" s="190">
        <v>15.853658536585364</v>
      </c>
      <c r="L33" s="170">
        <v>1.6</v>
      </c>
    </row>
    <row r="34" spans="2:12">
      <c r="B34" s="178">
        <v>1990</v>
      </c>
      <c r="C34" s="178">
        <v>4</v>
      </c>
      <c r="D34" s="178">
        <v>3.1</v>
      </c>
      <c r="F34" s="190">
        <v>8</v>
      </c>
      <c r="G34" s="190">
        <v>4.7521985825341355</v>
      </c>
      <c r="H34" s="190">
        <v>-5.219858253413534E-2</v>
      </c>
      <c r="I34" s="190">
        <v>-1.7296456535798067E-2</v>
      </c>
      <c r="K34" s="190">
        <v>18.292682926829269</v>
      </c>
      <c r="L34" s="170">
        <v>1.7</v>
      </c>
    </row>
    <row r="35" spans="2:12">
      <c r="B35" s="178">
        <v>1991</v>
      </c>
      <c r="C35" s="178">
        <v>8.6999999999999993</v>
      </c>
      <c r="D35" s="178">
        <v>2.9</v>
      </c>
      <c r="F35" s="190">
        <v>9</v>
      </c>
      <c r="G35" s="190">
        <v>4.9714280389891368</v>
      </c>
      <c r="H35" s="190">
        <v>1.2285719610108634</v>
      </c>
      <c r="I35" s="190">
        <v>0.40709805694107049</v>
      </c>
      <c r="K35" s="190">
        <v>20.73170731707317</v>
      </c>
      <c r="L35" s="170">
        <v>1.9</v>
      </c>
    </row>
    <row r="36" spans="2:12">
      <c r="B36" s="178">
        <v>1992</v>
      </c>
      <c r="C36" s="178">
        <v>14.3</v>
      </c>
      <c r="D36" s="178">
        <v>2.7</v>
      </c>
      <c r="F36" s="190">
        <v>10</v>
      </c>
      <c r="G36" s="190">
        <v>4.0945102131691318</v>
      </c>
      <c r="H36" s="190">
        <v>1.5054897868308679</v>
      </c>
      <c r="I36" s="190">
        <v>0.49885719877506907</v>
      </c>
      <c r="K36" s="190">
        <v>23.170731707317071</v>
      </c>
      <c r="L36" s="170">
        <v>2.5</v>
      </c>
    </row>
    <row r="37" spans="2:12">
      <c r="B37" s="178">
        <v>1993</v>
      </c>
      <c r="C37" s="178">
        <v>10.3</v>
      </c>
      <c r="D37" s="178">
        <v>2.7</v>
      </c>
      <c r="F37" s="190">
        <v>11</v>
      </c>
      <c r="G37" s="190">
        <v>4.4532493237318604</v>
      </c>
      <c r="H37" s="190">
        <v>-1.1532493237318606</v>
      </c>
      <c r="I37" s="190">
        <v>-0.38213924276242917</v>
      </c>
      <c r="K37" s="190">
        <v>25.609756097560975</v>
      </c>
      <c r="L37" s="170">
        <v>2.7</v>
      </c>
    </row>
    <row r="38" spans="2:12">
      <c r="B38" s="178">
        <v>1994</v>
      </c>
      <c r="C38" s="178">
        <v>1.8</v>
      </c>
      <c r="D38" s="178">
        <v>2.5</v>
      </c>
      <c r="F38" s="190">
        <v>12</v>
      </c>
      <c r="G38" s="190">
        <v>4.7322686319473171</v>
      </c>
      <c r="H38" s="190">
        <v>-1.3322686319473172</v>
      </c>
      <c r="I38" s="190">
        <v>-0.44145885515980388</v>
      </c>
      <c r="K38" s="190">
        <v>28.048780487804876</v>
      </c>
      <c r="L38" s="170">
        <v>2.7</v>
      </c>
    </row>
    <row r="39" spans="2:12">
      <c r="B39" s="178">
        <v>1995</v>
      </c>
      <c r="C39" s="178">
        <v>-2.1</v>
      </c>
      <c r="D39" s="178">
        <v>3.3</v>
      </c>
      <c r="F39" s="190">
        <v>13</v>
      </c>
      <c r="G39" s="190">
        <v>5.270377297791411</v>
      </c>
      <c r="H39" s="190">
        <v>3.4296227022085883</v>
      </c>
      <c r="I39" s="190">
        <v>1.1364354571150386</v>
      </c>
      <c r="K39" s="190">
        <v>30.487804878048777</v>
      </c>
      <c r="L39" s="170">
        <v>2.7</v>
      </c>
    </row>
    <row r="40" spans="2:12">
      <c r="B40" s="178">
        <v>1996</v>
      </c>
      <c r="C40" s="178">
        <v>-4.0999999999999996</v>
      </c>
      <c r="D40" s="178">
        <v>1.7</v>
      </c>
      <c r="F40" s="190">
        <v>14</v>
      </c>
      <c r="G40" s="190">
        <v>4.5329691260791343</v>
      </c>
      <c r="H40" s="190">
        <v>7.7670308739208664</v>
      </c>
      <c r="I40" s="190">
        <v>2.5736735635516674</v>
      </c>
      <c r="K40" s="190">
        <v>32.926829268292686</v>
      </c>
      <c r="L40" s="170">
        <v>2.9</v>
      </c>
    </row>
    <row r="41" spans="2:12">
      <c r="B41" s="178">
        <v>1997</v>
      </c>
      <c r="C41" s="178">
        <v>-0.7</v>
      </c>
      <c r="D41" s="178">
        <v>1.6</v>
      </c>
      <c r="F41" s="190">
        <v>15</v>
      </c>
      <c r="G41" s="190">
        <v>4.2938097190373146</v>
      </c>
      <c r="H41" s="190">
        <v>2.6061902809626858</v>
      </c>
      <c r="I41" s="190">
        <v>0.86358392757526925</v>
      </c>
      <c r="K41" s="190">
        <v>35.365853658536587</v>
      </c>
      <c r="L41" s="170">
        <v>3</v>
      </c>
    </row>
    <row r="42" spans="2:12">
      <c r="B42" s="178">
        <v>1998</v>
      </c>
      <c r="C42" s="178">
        <v>2.2000000000000002</v>
      </c>
      <c r="D42" s="178">
        <v>2.7</v>
      </c>
      <c r="F42" s="190">
        <v>16</v>
      </c>
      <c r="G42" s="190">
        <v>4.3735295213845875</v>
      </c>
      <c r="H42" s="190">
        <v>0.52647047861541285</v>
      </c>
      <c r="I42" s="190">
        <v>0.17445059441599517</v>
      </c>
      <c r="K42" s="190">
        <v>37.804878048780488</v>
      </c>
      <c r="L42" s="170">
        <v>3.1</v>
      </c>
    </row>
    <row r="43" spans="2:12">
      <c r="B43" s="178">
        <v>1999</v>
      </c>
      <c r="C43" s="178">
        <v>2.5</v>
      </c>
      <c r="D43" s="178">
        <v>3.4</v>
      </c>
      <c r="F43" s="190">
        <v>17</v>
      </c>
      <c r="G43" s="190">
        <v>4.772128533120954</v>
      </c>
      <c r="H43" s="190">
        <v>1.9278714668790462</v>
      </c>
      <c r="I43" s="190">
        <v>0.63881706005469485</v>
      </c>
      <c r="K43" s="190">
        <v>40.243902439024389</v>
      </c>
      <c r="L43" s="170">
        <v>3.3</v>
      </c>
    </row>
    <row r="44" spans="2:12">
      <c r="B44" s="178">
        <v>2000</v>
      </c>
      <c r="C44" s="178">
        <v>-3.3</v>
      </c>
      <c r="D44" s="178">
        <v>1.6</v>
      </c>
      <c r="F44" s="190">
        <v>18</v>
      </c>
      <c r="G44" s="190">
        <v>5.0312178907495912</v>
      </c>
      <c r="H44" s="190">
        <v>3.9687821092504088</v>
      </c>
      <c r="I44" s="190">
        <v>1.3150906388657508</v>
      </c>
      <c r="K44" s="190">
        <v>42.68292682926829</v>
      </c>
      <c r="L44" s="170">
        <v>3.3</v>
      </c>
    </row>
    <row r="45" spans="2:12">
      <c r="F45" s="190">
        <v>19</v>
      </c>
      <c r="G45" s="190">
        <v>5.0312178907495912</v>
      </c>
      <c r="H45" s="190">
        <v>8.2687821092504095</v>
      </c>
      <c r="I45" s="190">
        <v>2.739933220659887</v>
      </c>
      <c r="K45" s="190">
        <v>45.121951219512191</v>
      </c>
      <c r="L45" s="170">
        <v>3.4</v>
      </c>
    </row>
    <row r="46" spans="2:12">
      <c r="F46" s="190">
        <v>20</v>
      </c>
      <c r="G46" s="190">
        <v>4.8119884342945909</v>
      </c>
      <c r="H46" s="190">
        <v>7.6880115657054091</v>
      </c>
      <c r="I46" s="190">
        <v>2.5474898251495053</v>
      </c>
      <c r="K46" s="190">
        <v>47.560975609756099</v>
      </c>
      <c r="L46" s="170">
        <v>3.4</v>
      </c>
    </row>
    <row r="47" spans="2:12">
      <c r="F47" s="190">
        <v>21</v>
      </c>
      <c r="G47" s="190">
        <v>4.8319183848814085</v>
      </c>
      <c r="H47" s="190">
        <v>4.0680816151185919</v>
      </c>
      <c r="I47" s="190">
        <v>1.3479943980081006</v>
      </c>
      <c r="K47" s="190">
        <v>50</v>
      </c>
      <c r="L47" s="170">
        <v>3.5</v>
      </c>
    </row>
    <row r="48" spans="2:12">
      <c r="F48" s="190">
        <v>22</v>
      </c>
      <c r="G48" s="190">
        <v>4.8119884342945909</v>
      </c>
      <c r="H48" s="190">
        <v>-1.0119884342945911</v>
      </c>
      <c r="I48" s="190">
        <v>-0.33533121243397918</v>
      </c>
      <c r="K48" s="190">
        <v>52.439024390243901</v>
      </c>
      <c r="L48" s="170">
        <v>3.8</v>
      </c>
    </row>
    <row r="49" spans="6:12">
      <c r="F49" s="190">
        <v>23</v>
      </c>
      <c r="G49" s="190">
        <v>5.1707275448573196</v>
      </c>
      <c r="H49" s="190">
        <v>-1.3707275448573197</v>
      </c>
      <c r="I49" s="190">
        <v>-0.45420255208159083</v>
      </c>
      <c r="K49" s="190">
        <v>54.878048780487802</v>
      </c>
      <c r="L49" s="170">
        <v>3.8</v>
      </c>
    </row>
    <row r="50" spans="6:12">
      <c r="F50" s="190">
        <v>24</v>
      </c>
      <c r="G50" s="190">
        <v>5.3899570013123217</v>
      </c>
      <c r="H50" s="190">
        <v>-1.4899570013123218</v>
      </c>
      <c r="I50" s="190">
        <v>-0.49371027453769706</v>
      </c>
      <c r="K50" s="190">
        <v>57.317073170731703</v>
      </c>
      <c r="L50" s="170">
        <v>3.8</v>
      </c>
    </row>
    <row r="51" spans="6:12">
      <c r="F51" s="190">
        <v>25</v>
      </c>
      <c r="G51" s="190">
        <v>4.5927589778395888</v>
      </c>
      <c r="H51" s="190">
        <v>-0.79275897783958893</v>
      </c>
      <c r="I51" s="190">
        <v>-0.26268761598266049</v>
      </c>
      <c r="K51" s="190">
        <v>59.756097560975604</v>
      </c>
      <c r="L51" s="170">
        <v>3.9</v>
      </c>
    </row>
    <row r="52" spans="6:12">
      <c r="F52" s="190">
        <v>26</v>
      </c>
      <c r="G52" s="190">
        <v>5.8882057659827787</v>
      </c>
      <c r="H52" s="190">
        <v>-4.788205765982779</v>
      </c>
      <c r="I52" s="190">
        <v>-1.5866138292475513</v>
      </c>
      <c r="K52" s="190">
        <v>62.195121951219512</v>
      </c>
      <c r="L52" s="170">
        <v>4.4000000000000004</v>
      </c>
    </row>
    <row r="53" spans="6:12">
      <c r="F53" s="190">
        <v>27</v>
      </c>
      <c r="G53" s="190">
        <v>6.8049834929764206</v>
      </c>
      <c r="H53" s="190">
        <v>-2.4049834929764202</v>
      </c>
      <c r="I53" s="190">
        <v>-0.79691229983832601</v>
      </c>
      <c r="K53" s="190">
        <v>64.634146341463421</v>
      </c>
      <c r="L53" s="170">
        <v>4.4000000000000004</v>
      </c>
    </row>
    <row r="54" spans="6:12">
      <c r="F54" s="190">
        <v>28</v>
      </c>
      <c r="G54" s="190">
        <v>4.1343701143427678</v>
      </c>
      <c r="H54" s="190">
        <v>0.26562988565723256</v>
      </c>
      <c r="I54" s="190">
        <v>8.8018784205007514E-2</v>
      </c>
      <c r="K54" s="190">
        <v>67.073170731707322</v>
      </c>
      <c r="L54" s="170">
        <v>4.5999999999999996</v>
      </c>
    </row>
    <row r="55" spans="6:12">
      <c r="F55" s="190">
        <v>29</v>
      </c>
      <c r="G55" s="190">
        <v>4.4133894225582244</v>
      </c>
      <c r="H55" s="190">
        <v>0.18661057744177523</v>
      </c>
      <c r="I55" s="190">
        <v>6.1835045802845011E-2</v>
      </c>
      <c r="K55" s="190">
        <v>69.512195121951223</v>
      </c>
      <c r="L55" s="170">
        <v>4.7</v>
      </c>
    </row>
    <row r="56" spans="6:12">
      <c r="F56" s="190">
        <v>30</v>
      </c>
      <c r="G56" s="190">
        <v>3.5962614484986739</v>
      </c>
      <c r="H56" s="190">
        <v>2.5037385515013257</v>
      </c>
      <c r="I56" s="190">
        <v>0.82963565159503694</v>
      </c>
      <c r="K56" s="190">
        <v>71.951219512195124</v>
      </c>
      <c r="L56" s="170">
        <v>4.9000000000000004</v>
      </c>
    </row>
    <row r="57" spans="6:12">
      <c r="F57" s="190">
        <v>31</v>
      </c>
      <c r="G57" s="190">
        <v>4.2340198672768601</v>
      </c>
      <c r="H57" s="190">
        <v>-1.13401986727686</v>
      </c>
      <c r="I57" s="190">
        <v>-0.37576739430153594</v>
      </c>
      <c r="K57" s="190">
        <v>74.390243902439025</v>
      </c>
      <c r="L57" s="170">
        <v>5.6</v>
      </c>
    </row>
    <row r="58" spans="6:12">
      <c r="F58" s="190">
        <v>32</v>
      </c>
      <c r="G58" s="190">
        <v>5.1707275448573196</v>
      </c>
      <c r="H58" s="190">
        <v>-2.2707275448573196</v>
      </c>
      <c r="I58" s="190">
        <v>-0.75242541803850294</v>
      </c>
      <c r="K58" s="190">
        <v>76.829268292682926</v>
      </c>
      <c r="L58" s="170">
        <v>6.1</v>
      </c>
    </row>
    <row r="59" spans="6:12">
      <c r="F59" s="190">
        <v>33</v>
      </c>
      <c r="G59" s="190">
        <v>6.2868047777191443</v>
      </c>
      <c r="H59" s="190">
        <v>-3.5868047777191441</v>
      </c>
      <c r="I59" s="190">
        <v>-1.1885191115992759</v>
      </c>
      <c r="K59" s="190">
        <v>79.268292682926827</v>
      </c>
      <c r="L59" s="170">
        <v>6.2</v>
      </c>
    </row>
    <row r="60" spans="6:12">
      <c r="F60" s="190">
        <v>34</v>
      </c>
      <c r="G60" s="190">
        <v>5.4896067542464131</v>
      </c>
      <c r="H60" s="190">
        <v>-2.7896067542464129</v>
      </c>
      <c r="I60" s="190">
        <v>-0.92436057904902758</v>
      </c>
      <c r="K60" s="190">
        <v>81.707317073170728</v>
      </c>
      <c r="L60" s="170">
        <v>6.7</v>
      </c>
    </row>
    <row r="61" spans="6:12">
      <c r="F61" s="190">
        <v>35</v>
      </c>
      <c r="G61" s="190">
        <v>3.7955609543668571</v>
      </c>
      <c r="H61" s="190">
        <v>-1.2955609543668571</v>
      </c>
      <c r="I61" s="190">
        <v>-0.42929544537017383</v>
      </c>
      <c r="K61" s="190">
        <v>84.146341463414629</v>
      </c>
      <c r="L61" s="170">
        <v>6.9</v>
      </c>
    </row>
    <row r="62" spans="6:12">
      <c r="F62" s="190">
        <v>36</v>
      </c>
      <c r="G62" s="190">
        <v>3.0182928814809431</v>
      </c>
      <c r="H62" s="190">
        <v>0.28170711851905672</v>
      </c>
      <c r="I62" s="190">
        <v>9.3346115828018467E-2</v>
      </c>
      <c r="K62" s="190">
        <v>86.58536585365853</v>
      </c>
      <c r="L62" s="170">
        <v>8.6999999999999993</v>
      </c>
    </row>
    <row r="63" spans="6:12">
      <c r="F63" s="190">
        <v>37</v>
      </c>
      <c r="G63" s="190">
        <v>2.6196938697445775</v>
      </c>
      <c r="H63" s="190">
        <v>-0.91969386974457756</v>
      </c>
      <c r="I63" s="190">
        <v>-0.30474860182025665</v>
      </c>
      <c r="K63" s="190">
        <v>89.024390243902431</v>
      </c>
      <c r="L63" s="170">
        <v>8.9</v>
      </c>
    </row>
    <row r="64" spans="6:12">
      <c r="F64" s="190">
        <v>38</v>
      </c>
      <c r="G64" s="190">
        <v>3.2973121896963997</v>
      </c>
      <c r="H64" s="190">
        <v>-1.6973121896963996</v>
      </c>
      <c r="I64" s="190">
        <v>-0.56241922848318049</v>
      </c>
      <c r="K64" s="190">
        <v>91.463414634146332</v>
      </c>
      <c r="L64" s="170">
        <v>9</v>
      </c>
    </row>
    <row r="65" spans="6:12">
      <c r="F65" s="190">
        <v>39</v>
      </c>
      <c r="G65" s="190">
        <v>3.8752807567141301</v>
      </c>
      <c r="H65" s="190">
        <v>-1.1752807567141299</v>
      </c>
      <c r="I65" s="190">
        <v>-0.38943955063477359</v>
      </c>
      <c r="K65" s="190">
        <v>93.902439024390247</v>
      </c>
      <c r="L65" s="170">
        <v>12.3</v>
      </c>
    </row>
    <row r="66" spans="6:12">
      <c r="F66" s="190">
        <v>40</v>
      </c>
      <c r="G66" s="190">
        <v>3.935070608474585</v>
      </c>
      <c r="H66" s="190">
        <v>-0.5350706084745851</v>
      </c>
      <c r="I66" s="190">
        <v>-0.17730032260955514</v>
      </c>
      <c r="K66" s="190">
        <v>96.341463414634148</v>
      </c>
      <c r="L66" s="170">
        <v>12.5</v>
      </c>
    </row>
    <row r="67" spans="6:12" ht="15.75" thickBot="1">
      <c r="F67" s="191">
        <v>41</v>
      </c>
      <c r="G67" s="191">
        <v>2.7791334744391238</v>
      </c>
      <c r="H67" s="191">
        <v>-1.1791334744391238</v>
      </c>
      <c r="I67" s="191">
        <v>-0.3907161823255188</v>
      </c>
      <c r="K67" s="191">
        <v>98.780487804878049</v>
      </c>
      <c r="L67" s="192">
        <v>13.3</v>
      </c>
    </row>
  </sheetData>
  <sortState ref="L27:L67">
    <sortCondition ref="L27"/>
  </sortState>
  <mergeCells count="2">
    <mergeCell ref="B2:D2"/>
    <mergeCell ref="K24:L24"/>
  </mergeCell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3:O44"/>
  <sheetViews>
    <sheetView showGridLines="0" workbookViewId="0">
      <selection activeCell="H16" sqref="H16"/>
    </sheetView>
  </sheetViews>
  <sheetFormatPr defaultRowHeight="15"/>
  <cols>
    <col min="2" max="2" width="14.7109375" style="156" customWidth="1"/>
    <col min="3" max="3" width="12.85546875" style="156" bestFit="1" customWidth="1"/>
    <col min="4" max="4" width="7.42578125" customWidth="1"/>
    <col min="5" max="5" width="16.42578125" customWidth="1"/>
    <col min="6" max="7" width="12" customWidth="1"/>
    <col min="8" max="8" width="13.42578125" bestFit="1" customWidth="1"/>
    <col min="9" max="9" width="10.42578125" customWidth="1"/>
  </cols>
  <sheetData>
    <row r="3" spans="2:14">
      <c r="B3" s="186" t="s">
        <v>356</v>
      </c>
      <c r="C3" s="186">
        <v>11</v>
      </c>
      <c r="D3" s="186">
        <v>12</v>
      </c>
      <c r="E3" s="186">
        <v>8</v>
      </c>
      <c r="F3" s="186">
        <v>9</v>
      </c>
      <c r="G3" s="186">
        <v>10</v>
      </c>
      <c r="H3" s="186">
        <v>7</v>
      </c>
      <c r="I3" s="186">
        <v>7</v>
      </c>
      <c r="J3" s="186">
        <v>9</v>
      </c>
      <c r="K3" s="186">
        <v>6</v>
      </c>
      <c r="L3" s="186">
        <v>5</v>
      </c>
      <c r="M3" s="186">
        <v>5</v>
      </c>
      <c r="N3" s="186">
        <v>6</v>
      </c>
    </row>
    <row r="4" spans="2:14">
      <c r="B4" s="186" t="s">
        <v>357</v>
      </c>
      <c r="C4" s="186">
        <v>13</v>
      </c>
      <c r="D4" s="186">
        <v>10</v>
      </c>
      <c r="E4" s="186">
        <v>12</v>
      </c>
      <c r="F4" s="186">
        <v>9</v>
      </c>
      <c r="G4" s="186">
        <v>11</v>
      </c>
      <c r="H4" s="186">
        <v>8</v>
      </c>
      <c r="I4" s="186">
        <v>9</v>
      </c>
      <c r="J4" s="186">
        <v>11</v>
      </c>
      <c r="K4" s="186">
        <v>10</v>
      </c>
      <c r="L4" s="186">
        <v>8</v>
      </c>
      <c r="M4" s="186">
        <v>8</v>
      </c>
      <c r="N4" s="186">
        <v>7</v>
      </c>
    </row>
    <row r="5" spans="2:14">
      <c r="B5" s="186" t="s">
        <v>358</v>
      </c>
      <c r="C5" s="186">
        <v>19</v>
      </c>
      <c r="D5" s="186">
        <v>15</v>
      </c>
      <c r="E5" s="186">
        <v>16</v>
      </c>
      <c r="F5" s="186">
        <v>14</v>
      </c>
      <c r="G5" s="186">
        <v>12</v>
      </c>
      <c r="H5" s="186">
        <v>15</v>
      </c>
      <c r="I5" s="186">
        <v>11</v>
      </c>
      <c r="J5" s="186">
        <v>13</v>
      </c>
      <c r="K5" s="186">
        <v>15</v>
      </c>
      <c r="L5" s="186">
        <v>17</v>
      </c>
      <c r="M5" s="186">
        <v>18</v>
      </c>
      <c r="N5" s="186">
        <v>16</v>
      </c>
    </row>
    <row r="6" spans="2:14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2:14">
      <c r="B7" s="246" t="s">
        <v>365</v>
      </c>
      <c r="C7" s="246"/>
      <c r="D7" s="246"/>
      <c r="E7" s="246"/>
      <c r="F7" s="246"/>
      <c r="G7" s="246"/>
      <c r="H7" s="246"/>
      <c r="I7" s="246"/>
      <c r="J7" s="246"/>
      <c r="K7" s="246"/>
      <c r="L7" s="246"/>
      <c r="M7" s="246"/>
      <c r="N7" s="246"/>
    </row>
    <row r="8" spans="2:14" ht="15.75" thickBot="1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2:14">
      <c r="B9" s="204" t="s">
        <v>362</v>
      </c>
      <c r="C9" s="207">
        <v>11</v>
      </c>
      <c r="E9" t="s">
        <v>370</v>
      </c>
      <c r="F9" s="201" t="s">
        <v>366</v>
      </c>
      <c r="G9" s="270" t="s">
        <v>367</v>
      </c>
      <c r="H9" s="270"/>
      <c r="I9" s="270"/>
      <c r="J9" s="270"/>
      <c r="K9" s="270"/>
    </row>
    <row r="10" spans="2:14">
      <c r="B10" s="205" t="s">
        <v>362</v>
      </c>
      <c r="C10" s="208">
        <v>12</v>
      </c>
      <c r="F10" s="201" t="s">
        <v>368</v>
      </c>
      <c r="G10" s="270" t="s">
        <v>369</v>
      </c>
      <c r="H10" s="270"/>
      <c r="I10" s="270"/>
      <c r="J10" s="270"/>
      <c r="K10" s="270"/>
    </row>
    <row r="11" spans="2:14">
      <c r="B11" s="205" t="s">
        <v>362</v>
      </c>
      <c r="C11" s="208">
        <v>8</v>
      </c>
    </row>
    <row r="12" spans="2:14">
      <c r="B12" s="205" t="s">
        <v>362</v>
      </c>
      <c r="C12" s="208">
        <v>9</v>
      </c>
    </row>
    <row r="13" spans="2:14">
      <c r="B13" s="205" t="s">
        <v>362</v>
      </c>
      <c r="C13" s="208">
        <v>10</v>
      </c>
      <c r="E13" s="147" t="s">
        <v>371</v>
      </c>
      <c r="F13" s="147">
        <v>0.05</v>
      </c>
    </row>
    <row r="14" spans="2:14">
      <c r="B14" s="205" t="s">
        <v>362</v>
      </c>
      <c r="C14" s="208">
        <v>7</v>
      </c>
    </row>
    <row r="15" spans="2:14">
      <c r="B15" s="205" t="s">
        <v>362</v>
      </c>
      <c r="C15" s="208">
        <v>7</v>
      </c>
      <c r="E15" t="s">
        <v>372</v>
      </c>
    </row>
    <row r="16" spans="2:14">
      <c r="B16" s="205" t="s">
        <v>362</v>
      </c>
      <c r="C16" s="208">
        <v>9</v>
      </c>
    </row>
    <row r="17" spans="2:15">
      <c r="B17" s="205" t="s">
        <v>362</v>
      </c>
      <c r="C17" s="208">
        <v>6</v>
      </c>
    </row>
    <row r="18" spans="2:15" ht="15.75">
      <c r="B18" s="205" t="s">
        <v>362</v>
      </c>
      <c r="C18" s="208">
        <v>5</v>
      </c>
      <c r="E18" s="56" t="s">
        <v>373</v>
      </c>
    </row>
    <row r="19" spans="2:15">
      <c r="B19" s="205" t="s">
        <v>362</v>
      </c>
      <c r="C19" s="208">
        <v>5</v>
      </c>
    </row>
    <row r="20" spans="2:15" ht="15.75" thickBot="1">
      <c r="B20" s="206" t="s">
        <v>362</v>
      </c>
      <c r="C20" s="209">
        <v>6</v>
      </c>
      <c r="E20" s="81" t="s">
        <v>59</v>
      </c>
    </row>
    <row r="21" spans="2:15" ht="15.75" thickBot="1">
      <c r="B21" s="204" t="s">
        <v>363</v>
      </c>
      <c r="C21" s="207">
        <v>13</v>
      </c>
    </row>
    <row r="22" spans="2:15" ht="15.75" thickBot="1">
      <c r="B22" s="205" t="s">
        <v>363</v>
      </c>
      <c r="C22" s="208">
        <v>10</v>
      </c>
      <c r="E22" s="268" t="s">
        <v>359</v>
      </c>
      <c r="F22" s="269"/>
      <c r="G22" s="202" t="s">
        <v>360</v>
      </c>
    </row>
    <row r="23" spans="2:15">
      <c r="B23" s="205" t="s">
        <v>363</v>
      </c>
      <c r="C23" s="208">
        <v>12</v>
      </c>
      <c r="E23" s="264" t="s">
        <v>361</v>
      </c>
      <c r="F23" s="265"/>
      <c r="G23" s="95">
        <v>22.969127806563051</v>
      </c>
    </row>
    <row r="24" spans="2:15">
      <c r="B24" s="205" t="s">
        <v>363</v>
      </c>
      <c r="C24" s="208">
        <v>9</v>
      </c>
      <c r="E24" s="264" t="s">
        <v>218</v>
      </c>
      <c r="F24" s="265"/>
      <c r="G24" s="185">
        <v>2</v>
      </c>
    </row>
    <row r="25" spans="2:15" ht="15.75" thickBot="1">
      <c r="B25" s="205" t="s">
        <v>363</v>
      </c>
      <c r="C25" s="208">
        <v>11</v>
      </c>
      <c r="E25" s="266" t="s">
        <v>210</v>
      </c>
      <c r="F25" s="267"/>
      <c r="G25" s="203">
        <v>1.0287675801293078E-5</v>
      </c>
    </row>
    <row r="26" spans="2:15">
      <c r="B26" s="205" t="s">
        <v>363</v>
      </c>
      <c r="C26" s="208">
        <v>8</v>
      </c>
    </row>
    <row r="27" spans="2:15">
      <c r="B27" s="205" t="s">
        <v>363</v>
      </c>
      <c r="C27" s="208">
        <v>9</v>
      </c>
    </row>
    <row r="28" spans="2:15">
      <c r="B28" s="205" t="s">
        <v>363</v>
      </c>
      <c r="C28" s="208">
        <v>11</v>
      </c>
      <c r="E28" s="3" t="s">
        <v>374</v>
      </c>
    </row>
    <row r="29" spans="2:15">
      <c r="B29" s="205" t="s">
        <v>363</v>
      </c>
      <c r="C29" s="208">
        <v>10</v>
      </c>
    </row>
    <row r="30" spans="2:15">
      <c r="B30" s="205" t="s">
        <v>363</v>
      </c>
      <c r="C30" s="208">
        <v>8</v>
      </c>
      <c r="E30" s="258" t="s">
        <v>375</v>
      </c>
      <c r="F30" s="259"/>
      <c r="G30" s="259"/>
      <c r="H30" s="259"/>
      <c r="I30" s="259"/>
      <c r="J30" s="259"/>
      <c r="K30" s="259"/>
      <c r="L30" s="259"/>
      <c r="M30" s="259"/>
      <c r="N30" s="259"/>
      <c r="O30" s="260"/>
    </row>
    <row r="31" spans="2:15">
      <c r="B31" s="205" t="s">
        <v>363</v>
      </c>
      <c r="C31" s="208">
        <v>8</v>
      </c>
      <c r="E31" s="261"/>
      <c r="F31" s="262"/>
      <c r="G31" s="262"/>
      <c r="H31" s="262"/>
      <c r="I31" s="262"/>
      <c r="J31" s="262"/>
      <c r="K31" s="262"/>
      <c r="L31" s="262"/>
      <c r="M31" s="262"/>
      <c r="N31" s="262"/>
      <c r="O31" s="263"/>
    </row>
    <row r="32" spans="2:15" ht="15.75" thickBot="1">
      <c r="B32" s="206" t="s">
        <v>363</v>
      </c>
      <c r="C32" s="209">
        <v>7</v>
      </c>
    </row>
    <row r="33" spans="2:3">
      <c r="B33" s="204" t="s">
        <v>364</v>
      </c>
      <c r="C33" s="207">
        <v>19</v>
      </c>
    </row>
    <row r="34" spans="2:3">
      <c r="B34" s="205" t="s">
        <v>364</v>
      </c>
      <c r="C34" s="208">
        <v>15</v>
      </c>
    </row>
    <row r="35" spans="2:3">
      <c r="B35" s="205" t="s">
        <v>364</v>
      </c>
      <c r="C35" s="208">
        <v>16</v>
      </c>
    </row>
    <row r="36" spans="2:3">
      <c r="B36" s="205" t="s">
        <v>364</v>
      </c>
      <c r="C36" s="208">
        <v>14</v>
      </c>
    </row>
    <row r="37" spans="2:3">
      <c r="B37" s="205" t="s">
        <v>364</v>
      </c>
      <c r="C37" s="208">
        <v>12</v>
      </c>
    </row>
    <row r="38" spans="2:3">
      <c r="B38" s="205" t="s">
        <v>364</v>
      </c>
      <c r="C38" s="208">
        <v>15</v>
      </c>
    </row>
    <row r="39" spans="2:3">
      <c r="B39" s="205" t="s">
        <v>364</v>
      </c>
      <c r="C39" s="208">
        <v>11</v>
      </c>
    </row>
    <row r="40" spans="2:3">
      <c r="B40" s="205" t="s">
        <v>364</v>
      </c>
      <c r="C40" s="208">
        <v>13</v>
      </c>
    </row>
    <row r="41" spans="2:3">
      <c r="B41" s="205" t="s">
        <v>364</v>
      </c>
      <c r="C41" s="208">
        <v>15</v>
      </c>
    </row>
    <row r="42" spans="2:3">
      <c r="B42" s="205" t="s">
        <v>364</v>
      </c>
      <c r="C42" s="208">
        <v>17</v>
      </c>
    </row>
    <row r="43" spans="2:3">
      <c r="B43" s="205" t="s">
        <v>364</v>
      </c>
      <c r="C43" s="208">
        <v>18</v>
      </c>
    </row>
    <row r="44" spans="2:3" ht="15.75" thickBot="1">
      <c r="B44" s="206" t="s">
        <v>364</v>
      </c>
      <c r="C44" s="209">
        <v>16</v>
      </c>
    </row>
  </sheetData>
  <sortState ref="C32:C43">
    <sortCondition ref="C7"/>
  </sortState>
  <mergeCells count="8">
    <mergeCell ref="E30:O31"/>
    <mergeCell ref="B7:N7"/>
    <mergeCell ref="E23:F23"/>
    <mergeCell ref="E24:F24"/>
    <mergeCell ref="E25:F25"/>
    <mergeCell ref="E22:F22"/>
    <mergeCell ref="G9:K9"/>
    <mergeCell ref="G10:K10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B2:P28"/>
  <sheetViews>
    <sheetView showGridLines="0" zoomScale="90" zoomScaleNormal="90" workbookViewId="0">
      <selection activeCell="D6" sqref="D6"/>
    </sheetView>
  </sheetViews>
  <sheetFormatPr defaultRowHeight="15"/>
  <cols>
    <col min="3" max="3" width="9.85546875" customWidth="1"/>
    <col min="4" max="4" width="10.5703125" customWidth="1"/>
    <col min="5" max="5" width="7.5703125" customWidth="1"/>
    <col min="6" max="6" width="9.85546875" bestFit="1" customWidth="1"/>
    <col min="7" max="7" width="14.140625" bestFit="1" customWidth="1"/>
    <col min="8" max="8" width="14.5703125" bestFit="1" customWidth="1"/>
    <col min="9" max="9" width="12.42578125" bestFit="1" customWidth="1"/>
    <col min="10" max="10" width="15.140625" customWidth="1"/>
    <col min="11" max="11" width="15.140625" bestFit="1" customWidth="1"/>
  </cols>
  <sheetData>
    <row r="2" spans="2:16" ht="15.75">
      <c r="B2" s="3" t="s">
        <v>13</v>
      </c>
      <c r="C2" s="5" t="s">
        <v>1</v>
      </c>
      <c r="D2" s="6">
        <v>0.6</v>
      </c>
      <c r="E2" s="4"/>
      <c r="F2" s="4" t="s">
        <v>16</v>
      </c>
      <c r="G2" s="4"/>
      <c r="H2" s="4"/>
      <c r="I2" s="5" t="s">
        <v>9</v>
      </c>
      <c r="J2" s="6" t="s">
        <v>14</v>
      </c>
      <c r="K2" s="4"/>
      <c r="L2" s="4"/>
    </row>
    <row r="3" spans="2:16" ht="15.75">
      <c r="C3" s="5" t="s">
        <v>0</v>
      </c>
      <c r="D3" s="6">
        <v>7</v>
      </c>
      <c r="E3" s="4"/>
      <c r="F3" s="4"/>
      <c r="G3" s="4"/>
      <c r="H3" s="4"/>
      <c r="I3" s="5" t="s">
        <v>10</v>
      </c>
      <c r="J3" s="6" t="s">
        <v>254</v>
      </c>
      <c r="K3" s="4"/>
      <c r="L3" s="4"/>
      <c r="P3" s="32" t="s">
        <v>20</v>
      </c>
    </row>
    <row r="4" spans="2:16" ht="15.75">
      <c r="C4" s="5" t="s">
        <v>2</v>
      </c>
      <c r="D4" s="6">
        <v>0.05</v>
      </c>
      <c r="E4" s="4"/>
      <c r="F4" s="4"/>
      <c r="G4" s="4"/>
      <c r="H4" s="4"/>
      <c r="I4" s="4"/>
      <c r="J4" s="4"/>
      <c r="K4" s="4"/>
      <c r="L4" s="4"/>
      <c r="P4" s="32" t="s">
        <v>21</v>
      </c>
    </row>
    <row r="5" spans="2:16" ht="15.75">
      <c r="C5" s="5" t="s">
        <v>3</v>
      </c>
      <c r="D5" s="6">
        <f>D3-2</f>
        <v>5</v>
      </c>
      <c r="E5" s="4"/>
      <c r="F5" s="4" t="s">
        <v>17</v>
      </c>
      <c r="G5" s="4"/>
      <c r="H5" s="4"/>
      <c r="I5" s="4"/>
      <c r="J5" s="4"/>
      <c r="K5" s="4"/>
      <c r="L5" s="4"/>
      <c r="P5" s="32" t="s">
        <v>22</v>
      </c>
    </row>
    <row r="6" spans="2:16" ht="15.75">
      <c r="C6" s="5" t="s">
        <v>23</v>
      </c>
      <c r="D6" s="6" t="s">
        <v>21</v>
      </c>
      <c r="E6" s="4"/>
      <c r="F6" s="4"/>
      <c r="G6" s="4"/>
      <c r="H6" s="4"/>
      <c r="I6" s="4"/>
      <c r="J6" s="4"/>
      <c r="K6" s="4"/>
      <c r="L6" s="4"/>
    </row>
    <row r="7" spans="2:16" ht="15.75">
      <c r="C7" s="4"/>
      <c r="D7" s="4"/>
      <c r="E7" s="4"/>
      <c r="F7" s="4"/>
      <c r="G7" s="6" t="s">
        <v>43</v>
      </c>
      <c r="H7" s="7" t="s">
        <v>4</v>
      </c>
      <c r="I7" s="4"/>
      <c r="J7" s="4"/>
      <c r="K7" s="4"/>
      <c r="L7" s="4"/>
    </row>
    <row r="8" spans="2:16" ht="15.75">
      <c r="C8" s="4"/>
      <c r="D8" s="4"/>
      <c r="E8" s="4"/>
      <c r="F8" s="4"/>
      <c r="G8" s="6" t="s">
        <v>43</v>
      </c>
      <c r="H8" s="7">
        <f>IF(D6="Unicaudal",TINV(2*D4,D5),TINV(D4,D5))</f>
        <v>2.0150483720881205</v>
      </c>
      <c r="I8" s="4"/>
      <c r="J8" s="4"/>
      <c r="K8" s="4"/>
      <c r="L8" s="4"/>
    </row>
    <row r="9" spans="2:16" ht="15.75">
      <c r="C9" s="4"/>
      <c r="D9" s="4"/>
      <c r="E9" s="4"/>
      <c r="F9" s="4"/>
      <c r="G9" s="4"/>
      <c r="H9" s="4"/>
      <c r="I9" s="4"/>
      <c r="J9" s="4"/>
      <c r="K9" s="4"/>
      <c r="L9" s="4"/>
    </row>
    <row r="10" spans="2:16" ht="15.75">
      <c r="C10" s="4"/>
      <c r="D10" s="4"/>
      <c r="E10" s="4"/>
      <c r="F10" s="4" t="s">
        <v>18</v>
      </c>
      <c r="G10" s="4"/>
      <c r="H10" s="4"/>
      <c r="I10" s="4"/>
      <c r="J10" s="4"/>
      <c r="K10" s="8"/>
      <c r="L10" s="4"/>
    </row>
    <row r="11" spans="2:16" ht="15.75">
      <c r="C11" s="4"/>
      <c r="D11" s="4"/>
      <c r="E11" s="4"/>
      <c r="F11" s="4"/>
      <c r="G11" s="4"/>
      <c r="H11" s="4"/>
      <c r="I11" s="4"/>
      <c r="J11" s="4"/>
      <c r="K11" s="8"/>
      <c r="L11" s="4"/>
    </row>
    <row r="12" spans="2:16" ht="15.75">
      <c r="C12" s="4"/>
      <c r="D12" s="4"/>
      <c r="E12" s="4"/>
      <c r="F12" s="4"/>
      <c r="G12" s="9" t="s">
        <v>6</v>
      </c>
      <c r="H12" s="10"/>
      <c r="I12" s="10"/>
      <c r="J12" s="10"/>
      <c r="K12" s="10"/>
      <c r="L12" s="11"/>
    </row>
    <row r="13" spans="2:16" ht="15.75">
      <c r="C13" s="4"/>
      <c r="D13" s="4"/>
      <c r="E13" s="4"/>
      <c r="F13" s="4"/>
      <c r="G13" s="12"/>
      <c r="H13" s="13"/>
      <c r="I13" s="13"/>
      <c r="J13" s="13"/>
      <c r="K13" s="14" t="s">
        <v>8</v>
      </c>
      <c r="L13" s="15"/>
    </row>
    <row r="14" spans="2:16" ht="15.75">
      <c r="C14" s="4"/>
      <c r="D14" s="4"/>
      <c r="E14" s="4"/>
      <c r="F14" s="4"/>
      <c r="G14" s="12"/>
      <c r="H14" s="16" t="s">
        <v>5</v>
      </c>
      <c r="I14" s="7">
        <f>(D2)*SQRT((D3-2)/(1-(D2^2)))</f>
        <v>1.6770509831248424</v>
      </c>
      <c r="J14" s="13"/>
      <c r="K14" s="6" t="str">
        <f>IF(OR(I14&gt;=H8),"Rejeita H0","Não Rejeita H0")</f>
        <v>Não Rejeita H0</v>
      </c>
      <c r="L14" s="17"/>
    </row>
    <row r="15" spans="2:16" ht="15.75">
      <c r="C15" s="4"/>
      <c r="D15" s="4"/>
      <c r="E15" s="4"/>
      <c r="F15" s="4"/>
      <c r="G15" s="18"/>
      <c r="H15" s="19"/>
      <c r="I15" s="20"/>
      <c r="J15" s="19"/>
      <c r="K15" s="21"/>
      <c r="L15" s="22"/>
    </row>
    <row r="16" spans="2:16" ht="15.75">
      <c r="C16" s="4"/>
      <c r="D16" s="4"/>
      <c r="E16" s="4"/>
      <c r="F16" s="4"/>
      <c r="G16" s="23"/>
      <c r="H16" s="13"/>
      <c r="I16" s="24"/>
      <c r="J16" s="13"/>
      <c r="K16" s="23"/>
      <c r="L16" s="13"/>
    </row>
    <row r="17" spans="3:12" ht="15.75">
      <c r="C17" s="4"/>
      <c r="D17" s="4"/>
      <c r="E17" s="4"/>
      <c r="F17" s="4"/>
      <c r="G17" s="9" t="s">
        <v>7</v>
      </c>
      <c r="H17" s="10"/>
      <c r="I17" s="25"/>
      <c r="J17" s="10"/>
      <c r="K17" s="26"/>
      <c r="L17" s="27"/>
    </row>
    <row r="18" spans="3:12" ht="15.75">
      <c r="C18" s="4"/>
      <c r="D18" s="4"/>
      <c r="E18" s="4"/>
      <c r="F18" s="4"/>
      <c r="G18" s="28"/>
      <c r="H18" s="13"/>
      <c r="I18" s="13"/>
      <c r="J18" s="13"/>
      <c r="K18" s="14" t="s">
        <v>8</v>
      </c>
      <c r="L18" s="15"/>
    </row>
    <row r="19" spans="3:12" ht="15.75">
      <c r="C19" s="4"/>
      <c r="D19" s="4"/>
      <c r="E19" s="4"/>
      <c r="F19" s="4"/>
      <c r="G19" s="12"/>
      <c r="H19" s="6" t="s">
        <v>42</v>
      </c>
      <c r="I19" s="7">
        <f>H8/(SQRT((H8^2)+D3-2))</f>
        <v>0.66943946646044838</v>
      </c>
      <c r="J19" s="13"/>
      <c r="K19" s="6" t="str">
        <f>IF(D2&gt;=I19,"Rejeita H0","Não Rejeita H0")</f>
        <v>Não Rejeita H0</v>
      </c>
      <c r="L19" s="17"/>
    </row>
    <row r="20" spans="3:12" ht="15.75">
      <c r="C20" s="4"/>
      <c r="D20" s="4"/>
      <c r="E20" s="4"/>
      <c r="F20" s="4"/>
      <c r="G20" s="18"/>
      <c r="H20" s="19"/>
      <c r="I20" s="19"/>
      <c r="J20" s="19"/>
      <c r="K20" s="21"/>
      <c r="L20" s="22"/>
    </row>
    <row r="21" spans="3:12" ht="15.75"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3:12" ht="15.75">
      <c r="C22" s="4"/>
      <c r="D22" s="4"/>
      <c r="E22" s="4"/>
      <c r="F22" s="4" t="s">
        <v>19</v>
      </c>
      <c r="G22" s="4" t="s">
        <v>11</v>
      </c>
      <c r="H22" s="4"/>
      <c r="I22" s="4"/>
      <c r="J22" s="4"/>
      <c r="K22" s="4"/>
      <c r="L22" s="4"/>
    </row>
    <row r="23" spans="3:12" ht="15.75"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3:12" ht="15.75">
      <c r="C24" s="4"/>
      <c r="D24" s="4"/>
      <c r="E24" s="4"/>
      <c r="F24" s="4"/>
      <c r="G24" s="29"/>
      <c r="H24" s="10"/>
      <c r="I24" s="10"/>
      <c r="J24" s="10"/>
      <c r="K24" s="10"/>
      <c r="L24" s="27"/>
    </row>
    <row r="25" spans="3:12" ht="15.75">
      <c r="C25" s="4"/>
      <c r="D25" s="4"/>
      <c r="E25" s="4"/>
      <c r="F25" s="4"/>
      <c r="G25" s="28"/>
      <c r="H25" s="13"/>
      <c r="I25" s="13"/>
      <c r="J25" s="13"/>
      <c r="K25" s="14" t="s">
        <v>8</v>
      </c>
      <c r="L25" s="17"/>
    </row>
    <row r="26" spans="3:12" ht="15.75">
      <c r="C26" s="4"/>
      <c r="D26" s="4"/>
      <c r="E26" s="4"/>
      <c r="F26" s="4"/>
      <c r="G26" s="28"/>
      <c r="H26" s="5" t="s">
        <v>12</v>
      </c>
      <c r="I26" s="30">
        <f>IF(D6="Unicaudal",TDIST(ABS(I14),D5,1),TDIST(ABS(I14),D5,2))</f>
        <v>7.7188625102507485E-2</v>
      </c>
      <c r="J26" s="13"/>
      <c r="K26" s="6" t="str">
        <f>IF(I26&lt;0.05,"Rejeita H0","Não Rejeita H0")</f>
        <v>Não Rejeita H0</v>
      </c>
      <c r="L26" s="17"/>
    </row>
    <row r="27" spans="3:12" ht="15.75">
      <c r="C27" s="4"/>
      <c r="D27" s="4"/>
      <c r="E27" s="4"/>
      <c r="F27" s="4"/>
      <c r="G27" s="31"/>
      <c r="H27" s="19"/>
      <c r="I27" s="19"/>
      <c r="J27" s="19"/>
      <c r="K27" s="19"/>
      <c r="L27" s="22"/>
    </row>
    <row r="28" spans="3:12">
      <c r="F28" s="1"/>
      <c r="G28" s="2"/>
    </row>
  </sheetData>
  <conditionalFormatting sqref="K14 K19 K26">
    <cfRule type="cellIs" dxfId="1" priority="2" operator="equal">
      <formula>"Rejeita H0"</formula>
    </cfRule>
    <cfRule type="cellIs" dxfId="0" priority="1" operator="equal">
      <formula>"Não Rejeita H0"</formula>
    </cfRule>
  </conditionalFormatting>
  <dataValidations count="1">
    <dataValidation type="list" allowBlank="1" showInputMessage="1" showErrorMessage="1" promptTitle="Escolha o tipo de Distribuição t" sqref="D6">
      <formula1>$P$4:$P$5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O47"/>
  <sheetViews>
    <sheetView showGridLines="0" zoomScale="85" zoomScaleNormal="85" workbookViewId="0">
      <selection activeCell="C2" sqref="C2:L2"/>
    </sheetView>
  </sheetViews>
  <sheetFormatPr defaultRowHeight="15.75"/>
  <cols>
    <col min="3" max="3" width="28.42578125" style="4" bestFit="1" customWidth="1"/>
    <col min="4" max="4" width="21.140625" style="4" customWidth="1"/>
    <col min="5" max="7" width="9.140625" style="4"/>
    <col min="8" max="8" width="11" style="4" bestFit="1" customWidth="1"/>
    <col min="9" max="9" width="15.7109375" style="4" bestFit="1" customWidth="1"/>
    <col min="10" max="10" width="16" style="4" bestFit="1" customWidth="1"/>
    <col min="11" max="11" width="28.28515625" style="4" bestFit="1" customWidth="1"/>
    <col min="12" max="15" width="9.140625" style="4"/>
  </cols>
  <sheetData>
    <row r="2" spans="2:12">
      <c r="C2" s="218" t="s">
        <v>26</v>
      </c>
      <c r="D2" s="219"/>
      <c r="E2" s="219"/>
      <c r="F2" s="219"/>
      <c r="G2" s="219"/>
      <c r="H2" s="219"/>
      <c r="I2" s="219"/>
      <c r="J2" s="219"/>
      <c r="K2" s="219"/>
      <c r="L2" s="220"/>
    </row>
    <row r="4" spans="2:12">
      <c r="C4" s="214" t="s">
        <v>29</v>
      </c>
      <c r="D4" s="215"/>
    </row>
    <row r="5" spans="2:12" ht="18.75">
      <c r="C5" s="38" t="s">
        <v>27</v>
      </c>
      <c r="D5" s="50" t="s">
        <v>28</v>
      </c>
      <c r="F5" s="216" t="s">
        <v>33</v>
      </c>
      <c r="G5" s="216"/>
      <c r="H5" s="216"/>
      <c r="I5" s="216"/>
      <c r="J5" s="216"/>
      <c r="K5" s="216"/>
      <c r="L5" s="216"/>
    </row>
    <row r="6" spans="2:12">
      <c r="C6" s="35">
        <v>10</v>
      </c>
      <c r="D6" s="40">
        <v>93</v>
      </c>
    </row>
    <row r="7" spans="2:12">
      <c r="C7" s="36">
        <v>15</v>
      </c>
      <c r="D7" s="41">
        <v>171</v>
      </c>
    </row>
    <row r="8" spans="2:12">
      <c r="C8" s="36">
        <v>20</v>
      </c>
      <c r="D8" s="41">
        <v>204</v>
      </c>
    </row>
    <row r="9" spans="2:12">
      <c r="C9" s="36">
        <v>20</v>
      </c>
      <c r="D9" s="41">
        <v>156</v>
      </c>
    </row>
    <row r="10" spans="2:12">
      <c r="C10" s="36">
        <v>35</v>
      </c>
      <c r="D10" s="41">
        <v>261</v>
      </c>
    </row>
    <row r="11" spans="2:12">
      <c r="B11" s="47" t="s">
        <v>31</v>
      </c>
      <c r="C11" s="48">
        <f>AVERAGE(C6:C10)</f>
        <v>20</v>
      </c>
      <c r="D11" s="6">
        <f>AVERAGE(D6:D10)</f>
        <v>177</v>
      </c>
    </row>
    <row r="14" spans="2:12">
      <c r="B14" s="62" t="s">
        <v>0</v>
      </c>
      <c r="C14" s="6">
        <v>5</v>
      </c>
    </row>
    <row r="15" spans="2:12">
      <c r="B15" s="5" t="s">
        <v>2</v>
      </c>
      <c r="C15" s="6">
        <v>0.05</v>
      </c>
    </row>
    <row r="16" spans="2:12">
      <c r="B16" s="62" t="s">
        <v>49</v>
      </c>
      <c r="C16" s="6">
        <f>C14-2</f>
        <v>3</v>
      </c>
    </row>
    <row r="19" spans="6:12" ht="18.75">
      <c r="F19" s="216" t="s">
        <v>30</v>
      </c>
      <c r="G19" s="216"/>
      <c r="H19" s="216"/>
      <c r="I19" s="216"/>
      <c r="J19" s="216"/>
      <c r="K19" s="216"/>
      <c r="L19" s="216"/>
    </row>
    <row r="21" spans="6:12">
      <c r="G21" s="54" t="s">
        <v>24</v>
      </c>
      <c r="H21" s="54" t="s">
        <v>25</v>
      </c>
      <c r="I21" s="54" t="s">
        <v>38</v>
      </c>
      <c r="J21" s="54" t="s">
        <v>39</v>
      </c>
      <c r="K21" s="54" t="s">
        <v>40</v>
      </c>
    </row>
    <row r="22" spans="6:12">
      <c r="G22" s="35">
        <v>10</v>
      </c>
      <c r="H22" s="35">
        <v>93</v>
      </c>
      <c r="I22" s="43">
        <f>(G22-$C$11)^2</f>
        <v>100</v>
      </c>
      <c r="J22" s="51">
        <f>(H22-$D$11)^2</f>
        <v>7056</v>
      </c>
      <c r="K22" s="43">
        <f>(C6-$C$11)*(D6-$D$11)</f>
        <v>840</v>
      </c>
    </row>
    <row r="23" spans="6:12">
      <c r="G23" s="36">
        <v>15</v>
      </c>
      <c r="H23" s="36">
        <v>171</v>
      </c>
      <c r="I23" s="44">
        <f t="shared" ref="I23:I26" si="0">(G23-$C$11)^2</f>
        <v>25</v>
      </c>
      <c r="J23" s="52">
        <f t="shared" ref="J23:J26" si="1">(H23-$D$11)^2</f>
        <v>36</v>
      </c>
      <c r="K23" s="44">
        <f t="shared" ref="K23:K26" si="2">(C7-$C$11)*(D7-$D$11)</f>
        <v>30</v>
      </c>
    </row>
    <row r="24" spans="6:12">
      <c r="G24" s="36">
        <v>20</v>
      </c>
      <c r="H24" s="36">
        <v>204</v>
      </c>
      <c r="I24" s="44">
        <f t="shared" si="0"/>
        <v>0</v>
      </c>
      <c r="J24" s="52">
        <f t="shared" si="1"/>
        <v>729</v>
      </c>
      <c r="K24" s="44">
        <f t="shared" si="2"/>
        <v>0</v>
      </c>
    </row>
    <row r="25" spans="6:12">
      <c r="G25" s="36">
        <v>20</v>
      </c>
      <c r="H25" s="36">
        <v>156</v>
      </c>
      <c r="I25" s="44">
        <f t="shared" si="0"/>
        <v>0</v>
      </c>
      <c r="J25" s="52">
        <f t="shared" si="1"/>
        <v>441</v>
      </c>
      <c r="K25" s="44">
        <f t="shared" si="2"/>
        <v>0</v>
      </c>
    </row>
    <row r="26" spans="6:12">
      <c r="G26" s="37">
        <v>35</v>
      </c>
      <c r="H26" s="37">
        <v>261</v>
      </c>
      <c r="I26" s="45">
        <f t="shared" si="0"/>
        <v>225</v>
      </c>
      <c r="J26" s="53">
        <f t="shared" si="1"/>
        <v>7056</v>
      </c>
      <c r="K26" s="45">
        <f t="shared" si="2"/>
        <v>1260</v>
      </c>
    </row>
    <row r="27" spans="6:12">
      <c r="G27" s="39"/>
      <c r="H27" s="39"/>
      <c r="I27" s="23"/>
      <c r="J27" s="23"/>
    </row>
    <row r="28" spans="6:12">
      <c r="G28" s="39"/>
      <c r="H28" s="39"/>
      <c r="I28" s="54" t="s">
        <v>35</v>
      </c>
      <c r="J28" s="55" t="s">
        <v>36</v>
      </c>
      <c r="K28" s="54" t="s">
        <v>37</v>
      </c>
    </row>
    <row r="29" spans="6:12">
      <c r="G29" s="221" t="s">
        <v>32</v>
      </c>
      <c r="H29" s="222"/>
      <c r="I29" s="6">
        <f>SUM(I22:I26)</f>
        <v>350</v>
      </c>
      <c r="J29" s="49">
        <f>SUM(J22:J26)</f>
        <v>15318</v>
      </c>
      <c r="K29" s="49">
        <f>SUM(K22:K26)</f>
        <v>2130</v>
      </c>
    </row>
    <row r="32" spans="6:12">
      <c r="G32" s="223" t="s">
        <v>1</v>
      </c>
      <c r="H32" s="223"/>
      <c r="I32" s="7">
        <f>K29/(SQRT(I29)*SQRT(J29))</f>
        <v>0.91990832396070532</v>
      </c>
    </row>
    <row r="33" spans="3:15">
      <c r="I33" s="61"/>
    </row>
    <row r="34" spans="3:15">
      <c r="G34" s="4" t="s">
        <v>34</v>
      </c>
      <c r="I34" s="61"/>
    </row>
    <row r="35" spans="3:15">
      <c r="I35" s="61"/>
    </row>
    <row r="36" spans="3:15">
      <c r="G36" s="214" t="s">
        <v>1</v>
      </c>
      <c r="H36" s="215"/>
      <c r="I36" s="7">
        <f>CORREL(C6:C10,D6:D10)</f>
        <v>0.91990832396070532</v>
      </c>
    </row>
    <row r="37" spans="3:15">
      <c r="I37" s="61"/>
    </row>
    <row r="38" spans="3:15" ht="21">
      <c r="F38" s="58" t="s">
        <v>41</v>
      </c>
      <c r="I38" s="61"/>
    </row>
    <row r="39" spans="3:15">
      <c r="I39" s="61"/>
    </row>
    <row r="40" spans="3:15">
      <c r="G40" s="217" t="s">
        <v>44</v>
      </c>
      <c r="H40" s="217"/>
      <c r="I40" s="7">
        <f>TINV(C15,C14-2)</f>
        <v>3.1824463048868799</v>
      </c>
      <c r="K40" s="6" t="s">
        <v>12</v>
      </c>
    </row>
    <row r="41" spans="3:15" s="60" customFormat="1">
      <c r="C41" s="13"/>
      <c r="D41" s="13"/>
      <c r="E41" s="13"/>
      <c r="F41" s="13"/>
      <c r="G41" s="59"/>
      <c r="H41" s="59"/>
      <c r="I41" s="24"/>
      <c r="J41" s="13"/>
      <c r="K41" s="45">
        <f>TDIST(I42,C16,2)</f>
        <v>2.6879888556690924E-2</v>
      </c>
      <c r="L41" s="13"/>
      <c r="M41" s="13"/>
      <c r="N41" s="13"/>
      <c r="O41" s="13"/>
    </row>
    <row r="42" spans="3:15">
      <c r="G42" s="217" t="s">
        <v>45</v>
      </c>
      <c r="H42" s="217"/>
      <c r="I42" s="7">
        <f>I32*SQRT((C14-2)/(1-I32^2))</f>
        <v>4.0632284365404443</v>
      </c>
    </row>
    <row r="44" spans="3:15" ht="21">
      <c r="F44" s="58" t="s">
        <v>46</v>
      </c>
    </row>
    <row r="45" spans="3:15">
      <c r="H45" s="212" t="s">
        <v>47</v>
      </c>
      <c r="I45" s="213"/>
      <c r="J45" s="210" t="str">
        <f>IF(OR(I42&gt;=I40,-I42&lt;=-I40),"Rejeita H0", "Não Rejeita H0")</f>
        <v>Rejeita H0</v>
      </c>
      <c r="K45" s="211"/>
    </row>
    <row r="47" spans="3:15">
      <c r="H47" s="212" t="s">
        <v>48</v>
      </c>
      <c r="I47" s="213"/>
      <c r="J47" s="210" t="str">
        <f>IF(K41&lt;$C$15,"Rejeita H0", "Não Rejeita H0")</f>
        <v>Rejeita H0</v>
      </c>
      <c r="K47" s="211"/>
    </row>
  </sheetData>
  <mergeCells count="13">
    <mergeCell ref="F19:L19"/>
    <mergeCell ref="F5:L5"/>
    <mergeCell ref="G40:H40"/>
    <mergeCell ref="G42:H42"/>
    <mergeCell ref="C2:L2"/>
    <mergeCell ref="C4:D4"/>
    <mergeCell ref="G29:H29"/>
    <mergeCell ref="G32:H32"/>
    <mergeCell ref="J45:K45"/>
    <mergeCell ref="H45:I45"/>
    <mergeCell ref="H47:I47"/>
    <mergeCell ref="J47:K47"/>
    <mergeCell ref="G36:H36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S52"/>
  <sheetViews>
    <sheetView showGridLines="0" zoomScaleNormal="100" workbookViewId="0">
      <pane xSplit="18780" topLeftCell="S1"/>
      <selection activeCell="B2" sqref="B2"/>
      <selection pane="topRight" activeCell="S1" sqref="S1"/>
    </sheetView>
  </sheetViews>
  <sheetFormatPr defaultRowHeight="15"/>
  <cols>
    <col min="3" max="3" width="8.7109375" bestFit="1" customWidth="1"/>
    <col min="4" max="4" width="8" bestFit="1" customWidth="1"/>
    <col min="5" max="5" width="6.7109375" bestFit="1" customWidth="1"/>
    <col min="6" max="6" width="6.85546875" bestFit="1" customWidth="1"/>
    <col min="7" max="7" width="7.7109375" bestFit="1" customWidth="1"/>
    <col min="8" max="8" width="7.42578125" bestFit="1" customWidth="1"/>
    <col min="9" max="9" width="8.42578125" bestFit="1" customWidth="1"/>
    <col min="11" max="11" width="25.85546875" bestFit="1" customWidth="1"/>
    <col min="12" max="19" width="12" customWidth="1"/>
  </cols>
  <sheetData>
    <row r="2" spans="2:19" ht="15.75">
      <c r="B2" s="78" t="s">
        <v>50</v>
      </c>
      <c r="C2" s="79" t="s">
        <v>51</v>
      </c>
      <c r="D2" s="79" t="s">
        <v>52</v>
      </c>
      <c r="E2" s="79" t="s">
        <v>53</v>
      </c>
      <c r="F2" s="79" t="s">
        <v>54</v>
      </c>
      <c r="G2" s="79" t="s">
        <v>55</v>
      </c>
      <c r="H2" s="79" t="s">
        <v>56</v>
      </c>
      <c r="I2" s="80" t="s">
        <v>57</v>
      </c>
      <c r="K2" s="56" t="s">
        <v>58</v>
      </c>
    </row>
    <row r="3" spans="2:19">
      <c r="B3" s="63">
        <v>906.9</v>
      </c>
      <c r="C3" s="64">
        <v>13</v>
      </c>
      <c r="D3" s="65">
        <v>23471</v>
      </c>
      <c r="E3" s="64">
        <v>4.5999999999999996</v>
      </c>
      <c r="F3" s="65">
        <v>555</v>
      </c>
      <c r="G3" s="66">
        <v>217.5</v>
      </c>
      <c r="H3" s="66">
        <v>34.299999999999997</v>
      </c>
      <c r="I3" s="67">
        <v>69.900000000000006</v>
      </c>
    </row>
    <row r="4" spans="2:19">
      <c r="B4" s="68">
        <v>621.9</v>
      </c>
      <c r="C4" s="69">
        <v>5.7</v>
      </c>
      <c r="D4" s="70">
        <v>30064</v>
      </c>
      <c r="E4" s="69">
        <v>6.6</v>
      </c>
      <c r="F4" s="70">
        <v>515</v>
      </c>
      <c r="G4" s="71">
        <v>102.2</v>
      </c>
      <c r="H4" s="71">
        <v>33</v>
      </c>
      <c r="I4" s="72">
        <v>41.5</v>
      </c>
      <c r="K4" s="81" t="s">
        <v>59</v>
      </c>
    </row>
    <row r="5" spans="2:19" ht="15.75" thickBot="1">
      <c r="B5" s="68">
        <v>1011.6</v>
      </c>
      <c r="C5" s="69">
        <v>13</v>
      </c>
      <c r="D5" s="70">
        <v>25578</v>
      </c>
      <c r="E5" s="69">
        <v>3.9</v>
      </c>
      <c r="F5" s="70">
        <v>523</v>
      </c>
      <c r="G5" s="71">
        <v>188.5</v>
      </c>
      <c r="H5" s="71">
        <v>39.299999999999997</v>
      </c>
      <c r="I5" s="72">
        <v>88.2</v>
      </c>
    </row>
    <row r="6" spans="2:19">
      <c r="B6" s="68">
        <v>802.1</v>
      </c>
      <c r="C6" s="69">
        <v>14</v>
      </c>
      <c r="D6" s="70">
        <v>22257</v>
      </c>
      <c r="E6" s="69">
        <v>4.4000000000000004</v>
      </c>
      <c r="F6" s="70">
        <v>554</v>
      </c>
      <c r="G6" s="71">
        <v>240.5</v>
      </c>
      <c r="H6" s="71">
        <v>35.700000000000003</v>
      </c>
      <c r="I6" s="72">
        <v>49.9</v>
      </c>
      <c r="K6" s="82" t="s">
        <v>60</v>
      </c>
      <c r="L6" s="83"/>
      <c r="M6" s="83"/>
      <c r="N6" s="83"/>
      <c r="O6" s="83"/>
      <c r="P6" s="83"/>
      <c r="Q6" s="83"/>
      <c r="R6" s="83"/>
      <c r="S6" s="84"/>
    </row>
    <row r="7" spans="2:19">
      <c r="B7" s="68">
        <v>656.3</v>
      </c>
      <c r="C7" s="69">
        <v>10.6</v>
      </c>
      <c r="D7" s="70">
        <v>32275</v>
      </c>
      <c r="E7" s="69">
        <v>4.9000000000000004</v>
      </c>
      <c r="F7" s="70">
        <v>518</v>
      </c>
      <c r="G7" s="71">
        <v>160.1</v>
      </c>
      <c r="H7" s="71">
        <v>32.700000000000003</v>
      </c>
      <c r="I7" s="72">
        <v>96.7</v>
      </c>
      <c r="K7" s="85"/>
      <c r="L7" s="86" t="s">
        <v>50</v>
      </c>
      <c r="M7" s="86" t="s">
        <v>51</v>
      </c>
      <c r="N7" s="86" t="s">
        <v>52</v>
      </c>
      <c r="O7" s="86" t="s">
        <v>53</v>
      </c>
      <c r="P7" s="86" t="s">
        <v>54</v>
      </c>
      <c r="Q7" s="86" t="s">
        <v>55</v>
      </c>
      <c r="R7" s="86" t="s">
        <v>56</v>
      </c>
      <c r="S7" s="87" t="s">
        <v>57</v>
      </c>
    </row>
    <row r="8" spans="2:19">
      <c r="B8" s="68">
        <v>630.79999999999995</v>
      </c>
      <c r="C8" s="69">
        <v>9.6999999999999993</v>
      </c>
      <c r="D8" s="70">
        <v>32949</v>
      </c>
      <c r="E8" s="69">
        <v>2.7</v>
      </c>
      <c r="F8" s="70">
        <v>537</v>
      </c>
      <c r="G8" s="71">
        <v>144.5</v>
      </c>
      <c r="H8" s="71">
        <v>25</v>
      </c>
      <c r="I8" s="72">
        <v>83.9</v>
      </c>
      <c r="K8" s="88" t="s">
        <v>50</v>
      </c>
      <c r="L8" s="102">
        <v>1</v>
      </c>
      <c r="M8" s="94">
        <v>-0.1203142492662059</v>
      </c>
      <c r="N8" s="94">
        <v>-0.34528970935578762</v>
      </c>
      <c r="O8" s="94">
        <v>0.33983360530063694</v>
      </c>
      <c r="P8" s="94">
        <v>-0.179108673522971</v>
      </c>
      <c r="Q8" s="94">
        <v>-8.4675083195622988E-2</v>
      </c>
      <c r="R8" s="94">
        <v>0.59452233049295233</v>
      </c>
      <c r="S8" s="95">
        <v>0.21009495748455864</v>
      </c>
    </row>
    <row r="9" spans="2:19">
      <c r="B9" s="68">
        <v>512</v>
      </c>
      <c r="C9" s="69">
        <v>13.8</v>
      </c>
      <c r="D9" s="70">
        <v>40640</v>
      </c>
      <c r="E9" s="69">
        <v>2.2999999999999998</v>
      </c>
      <c r="F9" s="70">
        <v>509</v>
      </c>
      <c r="G9" s="71">
        <v>214.9</v>
      </c>
      <c r="H9" s="71">
        <v>29.3</v>
      </c>
      <c r="I9" s="72">
        <v>95.6</v>
      </c>
      <c r="K9" s="88" t="s">
        <v>51</v>
      </c>
      <c r="L9" s="94">
        <v>-0.1203142492662059</v>
      </c>
      <c r="M9" s="102">
        <v>1</v>
      </c>
      <c r="N9" s="94">
        <v>-8.8453575055187444E-2</v>
      </c>
      <c r="O9" s="94">
        <v>-0.28046046801862007</v>
      </c>
      <c r="P9" s="94">
        <v>0.10546241425953218</v>
      </c>
      <c r="Q9" s="94">
        <v>0.86720171213355013</v>
      </c>
      <c r="R9" s="94">
        <v>0.12545132030374653</v>
      </c>
      <c r="S9" s="95">
        <v>-2.9778566395743757E-2</v>
      </c>
    </row>
    <row r="10" spans="2:19">
      <c r="B10" s="68">
        <v>665.6</v>
      </c>
      <c r="C10" s="69">
        <v>13</v>
      </c>
      <c r="D10" s="70">
        <v>31255</v>
      </c>
      <c r="E10" s="69">
        <v>4</v>
      </c>
      <c r="F10" s="70">
        <v>496</v>
      </c>
      <c r="G10" s="71">
        <v>230.5</v>
      </c>
      <c r="H10" s="71">
        <v>37.9</v>
      </c>
      <c r="I10" s="72">
        <v>80</v>
      </c>
      <c r="K10" s="88" t="s">
        <v>52</v>
      </c>
      <c r="L10" s="94">
        <v>-0.34528970935578762</v>
      </c>
      <c r="M10" s="94">
        <v>-8.8453575055187444E-2</v>
      </c>
      <c r="N10" s="102">
        <v>1</v>
      </c>
      <c r="O10" s="94">
        <v>-0.32607338070291592</v>
      </c>
      <c r="P10" s="94">
        <v>-0.27325859483245263</v>
      </c>
      <c r="Q10" s="94">
        <v>-9.1165234782245752E-2</v>
      </c>
      <c r="R10" s="94">
        <v>-0.29055014822224973</v>
      </c>
      <c r="S10" s="95">
        <v>0.64590706745616289</v>
      </c>
    </row>
    <row r="11" spans="2:19">
      <c r="B11" s="68">
        <v>1081.8</v>
      </c>
      <c r="C11" s="69">
        <v>17.600000000000001</v>
      </c>
      <c r="D11" s="70">
        <v>28145</v>
      </c>
      <c r="E11" s="69">
        <v>3.6</v>
      </c>
      <c r="F11" s="70">
        <v>500</v>
      </c>
      <c r="G11" s="71">
        <v>254.6</v>
      </c>
      <c r="H11" s="71">
        <v>38.200000000000003</v>
      </c>
      <c r="I11" s="72">
        <v>92.8</v>
      </c>
      <c r="K11" s="88" t="s">
        <v>53</v>
      </c>
      <c r="L11" s="94">
        <v>0.33983360530063694</v>
      </c>
      <c r="M11" s="94">
        <v>-0.28046046801862007</v>
      </c>
      <c r="N11" s="94">
        <v>-0.32607338070291592</v>
      </c>
      <c r="O11" s="102">
        <v>1</v>
      </c>
      <c r="P11" s="94">
        <v>-0.13804792104628788</v>
      </c>
      <c r="Q11" s="94">
        <v>-0.15103349842147124</v>
      </c>
      <c r="R11" s="94">
        <v>0.41958113228536542</v>
      </c>
      <c r="S11" s="95">
        <v>-9.7517556850453296E-2</v>
      </c>
    </row>
    <row r="12" spans="2:19">
      <c r="B12" s="68">
        <v>836.6</v>
      </c>
      <c r="C12" s="69">
        <v>9.6</v>
      </c>
      <c r="D12" s="70">
        <v>27940</v>
      </c>
      <c r="E12" s="69">
        <v>3.7</v>
      </c>
      <c r="F12" s="70">
        <v>486</v>
      </c>
      <c r="G12" s="71">
        <v>169.8</v>
      </c>
      <c r="H12" s="71">
        <v>37</v>
      </c>
      <c r="I12" s="72">
        <v>69.2</v>
      </c>
      <c r="K12" s="88" t="s">
        <v>54</v>
      </c>
      <c r="L12" s="94">
        <v>-0.179108673522971</v>
      </c>
      <c r="M12" s="94">
        <v>0.10546241425953218</v>
      </c>
      <c r="N12" s="94">
        <v>-0.27325859483245263</v>
      </c>
      <c r="O12" s="94">
        <v>-0.13804792104628788</v>
      </c>
      <c r="P12" s="102">
        <v>1</v>
      </c>
      <c r="Q12" s="94">
        <v>-4.3989944273126393E-2</v>
      </c>
      <c r="R12" s="94">
        <v>-0.20719848983490699</v>
      </c>
      <c r="S12" s="95">
        <v>-0.34101243220525423</v>
      </c>
    </row>
    <row r="13" spans="2:19">
      <c r="B13" s="68">
        <v>880.3</v>
      </c>
      <c r="C13" s="69">
        <v>13.3</v>
      </c>
      <c r="D13" s="70">
        <v>28221</v>
      </c>
      <c r="E13" s="69">
        <v>4.3</v>
      </c>
      <c r="F13" s="70">
        <v>519</v>
      </c>
      <c r="G13" s="71">
        <v>161.6</v>
      </c>
      <c r="H13" s="71">
        <v>32.200000000000003</v>
      </c>
      <c r="I13" s="72">
        <v>72.3</v>
      </c>
      <c r="K13" s="88" t="s">
        <v>55</v>
      </c>
      <c r="L13" s="94">
        <v>-8.4675083195622988E-2</v>
      </c>
      <c r="M13" s="94">
        <v>0.86720171213355013</v>
      </c>
      <c r="N13" s="94">
        <v>-9.1165234782245752E-2</v>
      </c>
      <c r="O13" s="94">
        <v>-0.15103349842147124</v>
      </c>
      <c r="P13" s="94">
        <v>-4.3989944273126393E-2</v>
      </c>
      <c r="Q13" s="102">
        <v>1</v>
      </c>
      <c r="R13" s="94">
        <v>0.28264751447828418</v>
      </c>
      <c r="S13" s="95">
        <v>-3.0676150486262353E-2</v>
      </c>
    </row>
    <row r="14" spans="2:19">
      <c r="B14" s="68">
        <v>566.5</v>
      </c>
      <c r="C14" s="69">
        <v>11.3</v>
      </c>
      <c r="D14" s="70">
        <v>24180</v>
      </c>
      <c r="E14" s="69">
        <v>4.9000000000000004</v>
      </c>
      <c r="F14" s="70">
        <v>541</v>
      </c>
      <c r="G14" s="71">
        <v>172.7</v>
      </c>
      <c r="H14" s="71">
        <v>21.6</v>
      </c>
      <c r="I14" s="72">
        <v>39.9</v>
      </c>
      <c r="K14" s="88" t="s">
        <v>56</v>
      </c>
      <c r="L14" s="94">
        <v>0.59452233049295233</v>
      </c>
      <c r="M14" s="94">
        <v>0.12545132030374653</v>
      </c>
      <c r="N14" s="94">
        <v>-0.29055014822224973</v>
      </c>
      <c r="O14" s="94">
        <v>0.41958113228536542</v>
      </c>
      <c r="P14" s="94">
        <v>-0.20719848983490699</v>
      </c>
      <c r="Q14" s="94">
        <v>0.28264751447828418</v>
      </c>
      <c r="R14" s="102">
        <v>1</v>
      </c>
      <c r="S14" s="95">
        <v>9.8733009747454942E-2</v>
      </c>
    </row>
    <row r="15" spans="2:19" ht="15.75" thickBot="1">
      <c r="B15" s="68">
        <v>659.6</v>
      </c>
      <c r="C15" s="69">
        <v>12.1</v>
      </c>
      <c r="D15" s="70">
        <v>32259</v>
      </c>
      <c r="E15" s="69">
        <v>4.4000000000000004</v>
      </c>
      <c r="F15" s="70">
        <v>586</v>
      </c>
      <c r="G15" s="71">
        <v>206.3</v>
      </c>
      <c r="H15" s="71">
        <v>34.5</v>
      </c>
      <c r="I15" s="72">
        <v>84.9</v>
      </c>
      <c r="K15" s="91" t="s">
        <v>57</v>
      </c>
      <c r="L15" s="96">
        <v>0.21009495748455864</v>
      </c>
      <c r="M15" s="96">
        <v>-2.9778566395743757E-2</v>
      </c>
      <c r="N15" s="96">
        <v>0.64590706745616289</v>
      </c>
      <c r="O15" s="96">
        <v>-9.7517556850453296E-2</v>
      </c>
      <c r="P15" s="96">
        <v>-0.34101243220525423</v>
      </c>
      <c r="Q15" s="96">
        <v>-3.0676150486262353E-2</v>
      </c>
      <c r="R15" s="96">
        <v>9.8733009747454942E-2</v>
      </c>
      <c r="S15" s="103">
        <v>1</v>
      </c>
    </row>
    <row r="16" spans="2:19" ht="15.75" thickBot="1">
      <c r="B16" s="68">
        <v>676.1</v>
      </c>
      <c r="C16" s="69">
        <v>12.4</v>
      </c>
      <c r="D16" s="70">
        <v>27011</v>
      </c>
      <c r="E16" s="69">
        <v>3.2</v>
      </c>
      <c r="F16" s="70">
        <v>501</v>
      </c>
      <c r="G16" s="71">
        <v>217</v>
      </c>
      <c r="H16" s="71">
        <v>34.700000000000003</v>
      </c>
      <c r="I16" s="72">
        <v>72.2</v>
      </c>
      <c r="L16" s="97"/>
      <c r="M16" s="97"/>
      <c r="N16" s="97"/>
      <c r="O16" s="97"/>
      <c r="P16" s="97"/>
      <c r="Q16" s="97"/>
      <c r="R16" s="97"/>
      <c r="S16" s="97"/>
    </row>
    <row r="17" spans="2:19">
      <c r="B17" s="68">
        <v>558.4</v>
      </c>
      <c r="C17" s="69">
        <v>14.9</v>
      </c>
      <c r="D17" s="70">
        <v>26723</v>
      </c>
      <c r="E17" s="69">
        <v>2.6</v>
      </c>
      <c r="F17" s="70">
        <v>600</v>
      </c>
      <c r="G17" s="71">
        <v>221.2</v>
      </c>
      <c r="H17" s="71">
        <v>28</v>
      </c>
      <c r="I17" s="72">
        <v>45.3</v>
      </c>
      <c r="K17" s="82" t="s">
        <v>61</v>
      </c>
      <c r="L17" s="98"/>
      <c r="M17" s="98"/>
      <c r="N17" s="98"/>
      <c r="O17" s="98"/>
      <c r="P17" s="98"/>
      <c r="Q17" s="98"/>
      <c r="R17" s="98"/>
      <c r="S17" s="99"/>
    </row>
    <row r="18" spans="2:19">
      <c r="B18" s="68">
        <v>799.1</v>
      </c>
      <c r="C18" s="69">
        <v>13.3</v>
      </c>
      <c r="D18" s="70">
        <v>27816</v>
      </c>
      <c r="E18" s="69">
        <v>3.7</v>
      </c>
      <c r="F18" s="70">
        <v>580</v>
      </c>
      <c r="G18" s="71">
        <v>201</v>
      </c>
      <c r="H18" s="71">
        <v>29</v>
      </c>
      <c r="I18" s="72">
        <v>56.6</v>
      </c>
      <c r="K18" s="85"/>
      <c r="L18" s="100" t="s">
        <v>50</v>
      </c>
      <c r="M18" s="100" t="s">
        <v>51</v>
      </c>
      <c r="N18" s="100" t="s">
        <v>52</v>
      </c>
      <c r="O18" s="100" t="s">
        <v>53</v>
      </c>
      <c r="P18" s="100" t="s">
        <v>54</v>
      </c>
      <c r="Q18" s="100" t="s">
        <v>55</v>
      </c>
      <c r="R18" s="100" t="s">
        <v>56</v>
      </c>
      <c r="S18" s="101" t="s">
        <v>57</v>
      </c>
    </row>
    <row r="19" spans="2:19">
      <c r="B19" s="68">
        <v>626.20000000000005</v>
      </c>
      <c r="C19" s="69">
        <v>12.5</v>
      </c>
      <c r="D19" s="70">
        <v>24294</v>
      </c>
      <c r="E19" s="69">
        <v>4.0999999999999996</v>
      </c>
      <c r="F19" s="70">
        <v>550</v>
      </c>
      <c r="G19" s="71">
        <v>225.3</v>
      </c>
      <c r="H19" s="71">
        <v>31</v>
      </c>
      <c r="I19" s="72">
        <v>48.8</v>
      </c>
      <c r="K19" s="88" t="s">
        <v>50</v>
      </c>
      <c r="L19" s="102">
        <v>1</v>
      </c>
      <c r="M19" s="94">
        <v>0.40526125826517828</v>
      </c>
      <c r="N19" s="94">
        <v>1.4054573749070839E-2</v>
      </c>
      <c r="O19" s="94">
        <v>1.5754659613236299E-2</v>
      </c>
      <c r="P19" s="94">
        <v>0.21329740451886767</v>
      </c>
      <c r="Q19" s="94">
        <v>0.55878246975440027</v>
      </c>
      <c r="R19" s="94">
        <v>5.303229760222905E-6</v>
      </c>
      <c r="S19" s="95">
        <v>0.14307887485897108</v>
      </c>
    </row>
    <row r="20" spans="2:19">
      <c r="B20" s="68">
        <v>1035.8</v>
      </c>
      <c r="C20" s="69">
        <v>11.6</v>
      </c>
      <c r="D20" s="70">
        <v>23334</v>
      </c>
      <c r="E20" s="69">
        <v>5.5</v>
      </c>
      <c r="F20" s="70">
        <v>558</v>
      </c>
      <c r="G20" s="71">
        <v>215.3</v>
      </c>
      <c r="H20" s="71">
        <v>45.6</v>
      </c>
      <c r="I20" s="72">
        <v>75.400000000000006</v>
      </c>
      <c r="K20" s="88" t="s">
        <v>51</v>
      </c>
      <c r="L20" s="94">
        <v>0.40526125826517828</v>
      </c>
      <c r="M20" s="102">
        <v>1</v>
      </c>
      <c r="N20" s="94">
        <v>0.54130502905520017</v>
      </c>
      <c r="O20" s="94">
        <v>4.8519857224456432E-2</v>
      </c>
      <c r="P20" s="94">
        <v>0.46605878425534164</v>
      </c>
      <c r="Q20" s="94">
        <v>4.4408920985006262E-16</v>
      </c>
      <c r="R20" s="94">
        <v>0.38535339932666557</v>
      </c>
      <c r="S20" s="95">
        <v>0.83734876686075699</v>
      </c>
    </row>
    <row r="21" spans="2:19">
      <c r="B21" s="68">
        <v>531.4</v>
      </c>
      <c r="C21" s="69">
        <v>14.4</v>
      </c>
      <c r="D21" s="70">
        <v>25623</v>
      </c>
      <c r="E21" s="69">
        <v>3.5</v>
      </c>
      <c r="F21" s="70">
        <v>500</v>
      </c>
      <c r="G21" s="71">
        <v>242.2</v>
      </c>
      <c r="H21" s="71">
        <v>31</v>
      </c>
      <c r="I21" s="72">
        <v>36.6</v>
      </c>
      <c r="K21" s="88" t="s">
        <v>52</v>
      </c>
      <c r="L21" s="94">
        <v>1.4054573749070839E-2</v>
      </c>
      <c r="M21" s="94">
        <v>0.54130502905520017</v>
      </c>
      <c r="N21" s="102">
        <v>1</v>
      </c>
      <c r="O21" s="94">
        <v>2.0836890315371354E-2</v>
      </c>
      <c r="P21" s="94">
        <v>5.4848076452873686E-2</v>
      </c>
      <c r="Q21" s="94">
        <v>0.52892742145943072</v>
      </c>
      <c r="R21" s="94">
        <v>4.0665322867626315E-2</v>
      </c>
      <c r="S21" s="95">
        <v>4.0739574269643697E-7</v>
      </c>
    </row>
    <row r="22" spans="2:19">
      <c r="B22" s="68">
        <v>744.4</v>
      </c>
      <c r="C22" s="69">
        <v>11.3</v>
      </c>
      <c r="D22" s="70">
        <v>33872</v>
      </c>
      <c r="E22" s="69">
        <v>3.9</v>
      </c>
      <c r="F22" s="70">
        <v>509</v>
      </c>
      <c r="G22" s="71">
        <v>196.1</v>
      </c>
      <c r="H22" s="71">
        <v>34.6</v>
      </c>
      <c r="I22" s="72">
        <v>92.7</v>
      </c>
      <c r="K22" s="88" t="s">
        <v>53</v>
      </c>
      <c r="L22" s="94">
        <v>1.5754659613236299E-2</v>
      </c>
      <c r="M22" s="94">
        <v>4.8519857224456432E-2</v>
      </c>
      <c r="N22" s="94">
        <v>2.0836890315371354E-2</v>
      </c>
      <c r="O22" s="102">
        <v>1</v>
      </c>
      <c r="P22" s="94">
        <v>0.3390497619487336</v>
      </c>
      <c r="Q22" s="94">
        <v>0.2951102752870432</v>
      </c>
      <c r="R22" s="94">
        <v>2.4199765169312659E-3</v>
      </c>
      <c r="S22" s="95">
        <v>0.50048871482389268</v>
      </c>
    </row>
    <row r="23" spans="2:19">
      <c r="B23" s="68">
        <v>482</v>
      </c>
      <c r="C23" s="69">
        <v>13.5</v>
      </c>
      <c r="D23" s="70">
        <v>37992</v>
      </c>
      <c r="E23" s="69">
        <v>2.6</v>
      </c>
      <c r="F23" s="70">
        <v>513</v>
      </c>
      <c r="G23" s="71">
        <v>224.3</v>
      </c>
      <c r="H23" s="71">
        <v>26.5</v>
      </c>
      <c r="I23" s="72">
        <v>95.9</v>
      </c>
      <c r="K23" s="88" t="s">
        <v>54</v>
      </c>
      <c r="L23" s="94">
        <v>0.21329740451886767</v>
      </c>
      <c r="M23" s="94">
        <v>0.46605878425534164</v>
      </c>
      <c r="N23" s="94">
        <v>5.4848076452873686E-2</v>
      </c>
      <c r="O23" s="94">
        <v>0.3390497619487336</v>
      </c>
      <c r="P23" s="102">
        <v>1</v>
      </c>
      <c r="Q23" s="94">
        <v>0.76163438376399584</v>
      </c>
      <c r="R23" s="94">
        <v>0.14880129743034978</v>
      </c>
      <c r="S23" s="95">
        <v>1.5373221019538315E-2</v>
      </c>
    </row>
    <row r="24" spans="2:19">
      <c r="B24" s="68">
        <v>702.2</v>
      </c>
      <c r="C24" s="69">
        <v>12.3</v>
      </c>
      <c r="D24" s="70">
        <v>29612</v>
      </c>
      <c r="E24" s="69">
        <v>3.6</v>
      </c>
      <c r="F24" s="70">
        <v>569</v>
      </c>
      <c r="G24" s="71">
        <v>200.2</v>
      </c>
      <c r="H24" s="71">
        <v>33.299999999999997</v>
      </c>
      <c r="I24" s="72">
        <v>82.2</v>
      </c>
      <c r="K24" s="88" t="s">
        <v>55</v>
      </c>
      <c r="L24" s="94">
        <v>0.55878246975440027</v>
      </c>
      <c r="M24" s="94">
        <v>4.4408920985006262E-16</v>
      </c>
      <c r="N24" s="94">
        <v>0.52892742145943072</v>
      </c>
      <c r="O24" s="94">
        <v>0.2951102752870432</v>
      </c>
      <c r="P24" s="94">
        <v>0.76163438376399584</v>
      </c>
      <c r="Q24" s="102">
        <v>1</v>
      </c>
      <c r="R24" s="94">
        <v>4.6720228275231701E-2</v>
      </c>
      <c r="S24" s="95">
        <v>0.83251548025088806</v>
      </c>
    </row>
    <row r="25" spans="2:19">
      <c r="B25" s="68">
        <v>530.9</v>
      </c>
      <c r="C25" s="69">
        <v>12.1</v>
      </c>
      <c r="D25" s="70">
        <v>32101</v>
      </c>
      <c r="E25" s="69">
        <v>3.3</v>
      </c>
      <c r="F25" s="70">
        <v>594</v>
      </c>
      <c r="G25" s="71">
        <v>186.2</v>
      </c>
      <c r="H25" s="71">
        <v>25.8</v>
      </c>
      <c r="I25" s="72">
        <v>70.400000000000006</v>
      </c>
      <c r="K25" s="88" t="s">
        <v>56</v>
      </c>
      <c r="L25" s="94">
        <v>5.303229760222905E-6</v>
      </c>
      <c r="M25" s="94">
        <v>0.38535339932666557</v>
      </c>
      <c r="N25" s="94">
        <v>4.0665322867626315E-2</v>
      </c>
      <c r="O25" s="94">
        <v>2.4199765169312659E-3</v>
      </c>
      <c r="P25" s="94">
        <v>0.14880129743034978</v>
      </c>
      <c r="Q25" s="94">
        <v>4.6720228275231701E-2</v>
      </c>
      <c r="R25" s="102">
        <v>1</v>
      </c>
      <c r="S25" s="95">
        <v>0.49513823559426329</v>
      </c>
    </row>
    <row r="26" spans="2:19" ht="15.75" thickBot="1">
      <c r="B26" s="68">
        <v>946.3</v>
      </c>
      <c r="C26" s="69">
        <v>12.1</v>
      </c>
      <c r="D26" s="70">
        <v>20993</v>
      </c>
      <c r="E26" s="69">
        <v>5.7</v>
      </c>
      <c r="F26" s="70">
        <v>549</v>
      </c>
      <c r="G26" s="71">
        <v>221.9</v>
      </c>
      <c r="H26" s="71">
        <v>46</v>
      </c>
      <c r="I26" s="72">
        <v>36</v>
      </c>
      <c r="K26" s="91" t="s">
        <v>57</v>
      </c>
      <c r="L26" s="96">
        <v>0.14307887485897108</v>
      </c>
      <c r="M26" s="96">
        <v>0.83734876686075699</v>
      </c>
      <c r="N26" s="96">
        <v>4.0739574269643697E-7</v>
      </c>
      <c r="O26" s="96">
        <v>0.50048871482389268</v>
      </c>
      <c r="P26" s="96">
        <v>1.5373221019538315E-2</v>
      </c>
      <c r="Q26" s="96">
        <v>0.83251548025088806</v>
      </c>
      <c r="R26" s="96">
        <v>0.49513823559426329</v>
      </c>
      <c r="S26" s="103">
        <v>1</v>
      </c>
    </row>
    <row r="27" spans="2:19">
      <c r="B27" s="68">
        <v>745</v>
      </c>
      <c r="C27" s="69">
        <v>13.5</v>
      </c>
      <c r="D27" s="70">
        <v>27445</v>
      </c>
      <c r="E27" s="69">
        <v>3.5</v>
      </c>
      <c r="F27" s="70">
        <v>577</v>
      </c>
      <c r="G27" s="71">
        <v>222.8</v>
      </c>
      <c r="H27" s="71">
        <v>34.6</v>
      </c>
      <c r="I27" s="72">
        <v>67.8</v>
      </c>
    </row>
    <row r="28" spans="2:19">
      <c r="B28" s="68">
        <v>437.4</v>
      </c>
      <c r="C28" s="69">
        <v>13.4</v>
      </c>
      <c r="D28" s="70">
        <v>22569</v>
      </c>
      <c r="E28" s="69">
        <v>4.9000000000000004</v>
      </c>
      <c r="F28" s="70">
        <v>546</v>
      </c>
      <c r="G28" s="71">
        <v>210</v>
      </c>
      <c r="H28" s="71">
        <v>30.8</v>
      </c>
      <c r="I28" s="72">
        <v>33.9</v>
      </c>
    </row>
    <row r="29" spans="2:19">
      <c r="B29" s="68">
        <v>592</v>
      </c>
      <c r="C29" s="69">
        <v>13.6</v>
      </c>
      <c r="D29" s="70">
        <v>27829</v>
      </c>
      <c r="E29" s="69">
        <v>3</v>
      </c>
      <c r="F29" s="70">
        <v>571</v>
      </c>
      <c r="G29" s="71">
        <v>204.7</v>
      </c>
      <c r="H29" s="71">
        <v>27.2</v>
      </c>
      <c r="I29" s="72">
        <v>52.6</v>
      </c>
    </row>
    <row r="30" spans="2:19">
      <c r="B30" s="68">
        <v>877.1</v>
      </c>
      <c r="C30" s="69">
        <v>11</v>
      </c>
      <c r="D30" s="70">
        <v>30529</v>
      </c>
      <c r="E30" s="69">
        <v>4.0999999999999996</v>
      </c>
      <c r="F30" s="70">
        <v>517</v>
      </c>
      <c r="G30" s="71">
        <v>196.5</v>
      </c>
      <c r="H30" s="71">
        <v>36.4</v>
      </c>
      <c r="I30" s="72">
        <v>87.5</v>
      </c>
    </row>
    <row r="31" spans="2:19">
      <c r="B31" s="68">
        <v>404</v>
      </c>
      <c r="C31" s="69">
        <v>12</v>
      </c>
      <c r="D31" s="70">
        <v>33332</v>
      </c>
      <c r="E31" s="69">
        <v>2.8</v>
      </c>
      <c r="F31" s="70">
        <v>519</v>
      </c>
      <c r="G31" s="71">
        <v>200.5</v>
      </c>
      <c r="H31" s="71">
        <v>24.7</v>
      </c>
      <c r="I31" s="72">
        <v>59.9</v>
      </c>
    </row>
    <row r="32" spans="2:19">
      <c r="B32" s="68">
        <v>522</v>
      </c>
      <c r="C32" s="69">
        <v>13.2</v>
      </c>
      <c r="D32" s="70">
        <v>36983</v>
      </c>
      <c r="E32" s="69">
        <v>3.8</v>
      </c>
      <c r="F32" s="70">
        <v>513</v>
      </c>
      <c r="G32" s="71">
        <v>223.2</v>
      </c>
      <c r="H32" s="71">
        <v>28.9</v>
      </c>
      <c r="I32" s="72">
        <v>100</v>
      </c>
    </row>
    <row r="33" spans="2:9">
      <c r="B33" s="68">
        <v>1173.0999999999999</v>
      </c>
      <c r="C33" s="69">
        <v>11.7</v>
      </c>
      <c r="D33" s="70">
        <v>22203</v>
      </c>
      <c r="E33" s="69">
        <v>4.9000000000000004</v>
      </c>
      <c r="F33" s="70">
        <v>543</v>
      </c>
      <c r="G33" s="71">
        <v>164.2</v>
      </c>
      <c r="H33" s="71">
        <v>45.6</v>
      </c>
      <c r="I33" s="72">
        <v>56.9</v>
      </c>
    </row>
    <row r="34" spans="2:9">
      <c r="B34" s="68">
        <v>463.4</v>
      </c>
      <c r="C34" s="69">
        <v>12.9</v>
      </c>
      <c r="D34" s="70">
        <v>34547</v>
      </c>
      <c r="E34" s="69">
        <v>4.5999999999999996</v>
      </c>
      <c r="F34" s="70">
        <v>506</v>
      </c>
      <c r="G34" s="71">
        <v>206.7</v>
      </c>
      <c r="H34" s="71">
        <v>36.6</v>
      </c>
      <c r="I34" s="72">
        <v>92.1</v>
      </c>
    </row>
    <row r="35" spans="2:9">
      <c r="B35" s="68">
        <v>1216.0999999999999</v>
      </c>
      <c r="C35" s="69">
        <v>12</v>
      </c>
      <c r="D35" s="70">
        <v>27194</v>
      </c>
      <c r="E35" s="69">
        <v>3.6</v>
      </c>
      <c r="F35" s="70">
        <v>496</v>
      </c>
      <c r="G35" s="71">
        <v>206.7</v>
      </c>
      <c r="H35" s="71">
        <v>33.299999999999997</v>
      </c>
      <c r="I35" s="72">
        <v>67.5</v>
      </c>
    </row>
    <row r="36" spans="2:9">
      <c r="B36" s="68">
        <v>325.89999999999998</v>
      </c>
      <c r="C36" s="69">
        <v>14.7</v>
      </c>
      <c r="D36" s="70">
        <v>25068</v>
      </c>
      <c r="E36" s="69">
        <v>3</v>
      </c>
      <c r="F36" s="70">
        <v>609</v>
      </c>
      <c r="G36" s="71">
        <v>215.6</v>
      </c>
      <c r="H36" s="71">
        <v>28.3</v>
      </c>
      <c r="I36" s="72">
        <v>44.2</v>
      </c>
    </row>
    <row r="37" spans="2:9">
      <c r="B37" s="68">
        <v>780.7</v>
      </c>
      <c r="C37" s="69">
        <v>13.3</v>
      </c>
      <c r="D37" s="70">
        <v>28400</v>
      </c>
      <c r="E37" s="69">
        <v>4.0999999999999996</v>
      </c>
      <c r="F37" s="70">
        <v>539</v>
      </c>
      <c r="G37" s="71">
        <v>224.2</v>
      </c>
      <c r="H37" s="71">
        <v>34.6</v>
      </c>
      <c r="I37" s="72">
        <v>81.2</v>
      </c>
    </row>
    <row r="38" spans="2:9">
      <c r="B38" s="68">
        <v>917.5</v>
      </c>
      <c r="C38" s="69">
        <v>13.2</v>
      </c>
      <c r="D38" s="70">
        <v>23517</v>
      </c>
      <c r="E38" s="69">
        <v>3</v>
      </c>
      <c r="F38" s="70">
        <v>560</v>
      </c>
      <c r="G38" s="71">
        <v>217.7</v>
      </c>
      <c r="H38" s="71">
        <v>34.299999999999997</v>
      </c>
      <c r="I38" s="72">
        <v>60.8</v>
      </c>
    </row>
    <row r="39" spans="2:9">
      <c r="B39" s="68">
        <v>748.8</v>
      </c>
      <c r="C39" s="69">
        <v>12.8</v>
      </c>
      <c r="D39" s="70">
        <v>28350</v>
      </c>
      <c r="E39" s="69">
        <v>4.9000000000000004</v>
      </c>
      <c r="F39" s="70">
        <v>527</v>
      </c>
      <c r="G39" s="71">
        <v>208.2</v>
      </c>
      <c r="H39" s="71">
        <v>30.1</v>
      </c>
      <c r="I39" s="72">
        <v>73.099999999999994</v>
      </c>
    </row>
    <row r="40" spans="2:9">
      <c r="B40" s="68">
        <v>440.4</v>
      </c>
      <c r="C40" s="69">
        <v>15.6</v>
      </c>
      <c r="D40" s="70">
        <v>29539</v>
      </c>
      <c r="E40" s="69">
        <v>4.2</v>
      </c>
      <c r="F40" s="70">
        <v>497</v>
      </c>
      <c r="G40" s="71">
        <v>252.7</v>
      </c>
      <c r="H40" s="71">
        <v>32.700000000000003</v>
      </c>
      <c r="I40" s="72">
        <v>84.6</v>
      </c>
    </row>
    <row r="41" spans="2:9">
      <c r="B41" s="68">
        <v>631.5</v>
      </c>
      <c r="C41" s="69">
        <v>14.5</v>
      </c>
      <c r="D41" s="70">
        <v>29685</v>
      </c>
      <c r="E41" s="69">
        <v>4.0999999999999996</v>
      </c>
      <c r="F41" s="70">
        <v>500</v>
      </c>
      <c r="G41" s="71">
        <v>248.6</v>
      </c>
      <c r="H41" s="71">
        <v>35.5</v>
      </c>
      <c r="I41" s="72">
        <v>94.1</v>
      </c>
    </row>
    <row r="42" spans="2:9">
      <c r="B42" s="68">
        <v>969.3</v>
      </c>
      <c r="C42" s="69">
        <v>12.1</v>
      </c>
      <c r="D42" s="70">
        <v>24321</v>
      </c>
      <c r="E42" s="69">
        <v>3.9</v>
      </c>
      <c r="F42" s="70">
        <v>482</v>
      </c>
      <c r="G42" s="71">
        <v>208.2</v>
      </c>
      <c r="H42" s="71">
        <v>39.799999999999997</v>
      </c>
      <c r="I42" s="72">
        <v>70</v>
      </c>
    </row>
    <row r="43" spans="2:9">
      <c r="B43" s="68">
        <v>383.7</v>
      </c>
      <c r="C43" s="69">
        <v>14.3</v>
      </c>
      <c r="D43" s="70">
        <v>26115</v>
      </c>
      <c r="E43" s="69">
        <v>2.2999999999999998</v>
      </c>
      <c r="F43" s="70">
        <v>588</v>
      </c>
      <c r="G43" s="71">
        <v>222.6</v>
      </c>
      <c r="H43" s="71">
        <v>33.5</v>
      </c>
      <c r="I43" s="72">
        <v>34.6</v>
      </c>
    </row>
    <row r="44" spans="2:9">
      <c r="B44" s="68">
        <v>990.4</v>
      </c>
      <c r="C44" s="69">
        <v>12.4</v>
      </c>
      <c r="D44" s="70">
        <v>26239</v>
      </c>
      <c r="E44" s="69">
        <v>3.9</v>
      </c>
      <c r="F44" s="70">
        <v>553</v>
      </c>
      <c r="G44" s="71">
        <v>217.8</v>
      </c>
      <c r="H44" s="71">
        <v>34.5</v>
      </c>
      <c r="I44" s="72">
        <v>67.900000000000006</v>
      </c>
    </row>
    <row r="45" spans="2:9">
      <c r="B45" s="68">
        <v>906.3</v>
      </c>
      <c r="C45" s="69">
        <v>9.9</v>
      </c>
      <c r="D45" s="70">
        <v>27871</v>
      </c>
      <c r="E45" s="69">
        <v>4.2</v>
      </c>
      <c r="F45" s="70">
        <v>500</v>
      </c>
      <c r="G45" s="71">
        <v>163.4</v>
      </c>
      <c r="H45" s="71">
        <v>30.5</v>
      </c>
      <c r="I45" s="72">
        <v>84.8</v>
      </c>
    </row>
    <row r="46" spans="2:9">
      <c r="B46" s="68">
        <v>642.5</v>
      </c>
      <c r="C46" s="69">
        <v>8.5</v>
      </c>
      <c r="D46" s="70">
        <v>23907</v>
      </c>
      <c r="E46" s="69">
        <v>3.2</v>
      </c>
      <c r="F46" s="70">
        <v>569</v>
      </c>
      <c r="G46" s="71">
        <v>112.4</v>
      </c>
      <c r="H46" s="71">
        <v>17.3</v>
      </c>
      <c r="I46" s="72">
        <v>76.5</v>
      </c>
    </row>
    <row r="47" spans="2:9">
      <c r="B47" s="68">
        <v>575</v>
      </c>
      <c r="C47" s="69">
        <v>12.7</v>
      </c>
      <c r="D47" s="70">
        <v>26901</v>
      </c>
      <c r="E47" s="69">
        <v>2.9</v>
      </c>
      <c r="F47" s="70">
        <v>508</v>
      </c>
      <c r="G47" s="71">
        <v>211.4</v>
      </c>
      <c r="H47" s="71">
        <v>28.1</v>
      </c>
      <c r="I47" s="72">
        <v>27.8</v>
      </c>
    </row>
    <row r="48" spans="2:9">
      <c r="B48" s="68">
        <v>429.9</v>
      </c>
      <c r="C48" s="69">
        <v>11.2</v>
      </c>
      <c r="D48" s="70">
        <v>31162</v>
      </c>
      <c r="E48" s="69">
        <v>2.2000000000000002</v>
      </c>
      <c r="F48" s="70">
        <v>500</v>
      </c>
      <c r="G48" s="71">
        <v>194.5</v>
      </c>
      <c r="H48" s="71">
        <v>29.9</v>
      </c>
      <c r="I48" s="72">
        <v>78.099999999999994</v>
      </c>
    </row>
    <row r="49" spans="2:9">
      <c r="B49" s="68">
        <v>907.3</v>
      </c>
      <c r="C49" s="69">
        <v>11.2</v>
      </c>
      <c r="D49" s="70">
        <v>31528</v>
      </c>
      <c r="E49" s="69">
        <v>5.2</v>
      </c>
      <c r="F49" s="70">
        <v>528</v>
      </c>
      <c r="G49" s="71">
        <v>185.1</v>
      </c>
      <c r="H49" s="71">
        <v>28.2</v>
      </c>
      <c r="I49" s="72">
        <v>83.1</v>
      </c>
    </row>
    <row r="50" spans="2:9">
      <c r="B50" s="68">
        <v>546.9</v>
      </c>
      <c r="C50" s="69">
        <v>15.3</v>
      </c>
      <c r="D50" s="70">
        <v>21915</v>
      </c>
      <c r="E50" s="69">
        <v>5.5</v>
      </c>
      <c r="F50" s="70">
        <v>511</v>
      </c>
      <c r="G50" s="71">
        <v>263.5</v>
      </c>
      <c r="H50" s="71">
        <v>31.7</v>
      </c>
      <c r="I50" s="72">
        <v>42.3</v>
      </c>
    </row>
    <row r="51" spans="2:9">
      <c r="B51" s="68">
        <v>469.5</v>
      </c>
      <c r="C51" s="69">
        <v>13.1</v>
      </c>
      <c r="D51" s="70">
        <v>28232</v>
      </c>
      <c r="E51" s="69">
        <v>3.5</v>
      </c>
      <c r="F51" s="70">
        <v>597</v>
      </c>
      <c r="G51" s="71">
        <v>204.8</v>
      </c>
      <c r="H51" s="71">
        <v>29.3</v>
      </c>
      <c r="I51" s="72">
        <v>67.900000000000006</v>
      </c>
    </row>
    <row r="52" spans="2:9">
      <c r="B52" s="73">
        <v>420.8</v>
      </c>
      <c r="C52" s="74">
        <v>11.7</v>
      </c>
      <c r="D52" s="75">
        <v>27230</v>
      </c>
      <c r="E52" s="74">
        <v>3.9</v>
      </c>
      <c r="F52" s="75">
        <v>545</v>
      </c>
      <c r="G52" s="76">
        <v>187.4</v>
      </c>
      <c r="H52" s="76">
        <v>28.8</v>
      </c>
      <c r="I52" s="77">
        <v>30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B2:Q50"/>
  <sheetViews>
    <sheetView showGridLines="0" zoomScaleNormal="100" workbookViewId="0">
      <selection activeCell="B2" sqref="B2:G2"/>
    </sheetView>
  </sheetViews>
  <sheetFormatPr defaultRowHeight="15"/>
  <cols>
    <col min="2" max="2" width="33.28515625" bestFit="1" customWidth="1"/>
    <col min="3" max="3" width="16.7109375" customWidth="1"/>
    <col min="4" max="4" width="12.7109375" bestFit="1" customWidth="1"/>
    <col min="5" max="5" width="15" bestFit="1" customWidth="1"/>
    <col min="6" max="6" width="12" customWidth="1"/>
    <col min="7" max="7" width="12" bestFit="1" customWidth="1"/>
    <col min="10" max="10" width="12" bestFit="1" customWidth="1"/>
  </cols>
  <sheetData>
    <row r="2" spans="2:7">
      <c r="B2" s="229" t="s">
        <v>320</v>
      </c>
      <c r="C2" s="229"/>
      <c r="D2" s="229"/>
      <c r="E2" s="229"/>
      <c r="F2" s="229"/>
      <c r="G2" s="229"/>
    </row>
    <row r="4" spans="2:7">
      <c r="B4" s="224" t="s">
        <v>233</v>
      </c>
      <c r="C4" s="225"/>
    </row>
    <row r="5" spans="2:7">
      <c r="B5" s="129" t="s">
        <v>231</v>
      </c>
      <c r="C5" s="121" t="s">
        <v>232</v>
      </c>
    </row>
    <row r="6" spans="2:7">
      <c r="B6" s="111">
        <v>2.2999999999999998</v>
      </c>
      <c r="C6" s="112">
        <v>145</v>
      </c>
    </row>
    <row r="7" spans="2:7">
      <c r="B7" s="113">
        <v>4.2</v>
      </c>
      <c r="C7" s="114">
        <v>258</v>
      </c>
    </row>
    <row r="8" spans="2:7">
      <c r="B8" s="113">
        <v>3.6</v>
      </c>
      <c r="C8" s="114">
        <v>219</v>
      </c>
    </row>
    <row r="9" spans="2:7">
      <c r="B9" s="113">
        <v>4.7</v>
      </c>
      <c r="C9" s="114">
        <v>276</v>
      </c>
    </row>
    <row r="10" spans="2:7">
      <c r="B10" s="115">
        <v>4.9000000000000004</v>
      </c>
      <c r="C10" s="116">
        <v>283</v>
      </c>
    </row>
    <row r="12" spans="2:7" ht="15.75">
      <c r="B12" s="56" t="s">
        <v>221</v>
      </c>
    </row>
    <row r="14" spans="2:7">
      <c r="B14" s="81" t="s">
        <v>59</v>
      </c>
    </row>
    <row r="15" spans="2:7" ht="15.75" thickBot="1"/>
    <row r="16" spans="2:7">
      <c r="B16" s="226" t="s">
        <v>222</v>
      </c>
      <c r="C16" s="227"/>
      <c r="D16" s="227"/>
      <c r="E16" s="227"/>
      <c r="F16" s="227"/>
      <c r="G16" s="228"/>
    </row>
    <row r="17" spans="2:17">
      <c r="B17" s="85" t="s">
        <v>223</v>
      </c>
      <c r="C17" s="86" t="s">
        <v>225</v>
      </c>
      <c r="D17" s="86" t="s">
        <v>226</v>
      </c>
      <c r="E17" s="86" t="s">
        <v>227</v>
      </c>
      <c r="F17" s="86" t="s">
        <v>228</v>
      </c>
      <c r="G17" s="87" t="s">
        <v>210</v>
      </c>
    </row>
    <row r="18" spans="2:17">
      <c r="B18" s="88" t="s">
        <v>234</v>
      </c>
      <c r="C18" s="89">
        <v>1</v>
      </c>
      <c r="D18" s="89">
        <v>12767.33476669716</v>
      </c>
      <c r="E18" s="89">
        <v>12767.33476669716</v>
      </c>
      <c r="F18" s="89">
        <v>401.21416954577961</v>
      </c>
      <c r="G18" s="90">
        <v>2.7197137734275836E-4</v>
      </c>
    </row>
    <row r="19" spans="2:17" ht="15.75" thickBot="1">
      <c r="B19" s="91" t="s">
        <v>224</v>
      </c>
      <c r="C19" s="92">
        <v>3</v>
      </c>
      <c r="D19" s="92">
        <v>95.465233302836083</v>
      </c>
      <c r="E19" s="92">
        <v>31.821744434278695</v>
      </c>
      <c r="F19" s="92"/>
      <c r="G19" s="93"/>
    </row>
    <row r="20" spans="2:17" ht="15.75">
      <c r="I20" s="56" t="s">
        <v>281</v>
      </c>
    </row>
    <row r="21" spans="2:17" ht="15.75" thickBot="1">
      <c r="I21" s="60"/>
      <c r="J21" s="60"/>
      <c r="K21" s="60"/>
      <c r="L21" s="60"/>
      <c r="M21" s="60"/>
      <c r="N21" s="60"/>
      <c r="O21" s="60"/>
      <c r="P21" s="60"/>
      <c r="Q21" s="60"/>
    </row>
    <row r="22" spans="2:17">
      <c r="B22" s="226" t="s">
        <v>211</v>
      </c>
      <c r="C22" s="227"/>
      <c r="D22" s="227"/>
      <c r="E22" s="227"/>
      <c r="F22" s="227"/>
      <c r="G22" s="228"/>
      <c r="I22" s="60"/>
      <c r="J22" s="60"/>
      <c r="K22" s="60"/>
      <c r="L22" s="60"/>
      <c r="M22" s="60"/>
      <c r="N22" s="60"/>
      <c r="O22" s="60"/>
      <c r="P22" s="60"/>
      <c r="Q22" s="60"/>
    </row>
    <row r="23" spans="2:17">
      <c r="B23" s="85" t="s">
        <v>212</v>
      </c>
      <c r="C23" s="86" t="s">
        <v>213</v>
      </c>
      <c r="D23" s="86" t="s">
        <v>31</v>
      </c>
      <c r="E23" s="86" t="s">
        <v>214</v>
      </c>
      <c r="F23" s="86" t="s">
        <v>215</v>
      </c>
      <c r="G23" s="87" t="s">
        <v>216</v>
      </c>
      <c r="I23" s="144"/>
      <c r="J23" s="144"/>
      <c r="K23" s="60"/>
      <c r="L23" s="60"/>
      <c r="M23" s="60"/>
      <c r="N23" s="60"/>
      <c r="O23" s="60"/>
      <c r="P23" s="60"/>
      <c r="Q23" s="60"/>
    </row>
    <row r="24" spans="2:17" ht="15.75" thickBot="1">
      <c r="B24" s="91">
        <v>-5.0780000000000003</v>
      </c>
      <c r="C24" s="92">
        <v>-2.5750000000000002</v>
      </c>
      <c r="D24" s="92">
        <v>-1.27</v>
      </c>
      <c r="E24" s="92">
        <v>4.4580000000000002E-17</v>
      </c>
      <c r="F24" s="92">
        <v>1.173</v>
      </c>
      <c r="G24" s="93">
        <v>7.75</v>
      </c>
      <c r="I24" s="143"/>
      <c r="J24" s="143"/>
      <c r="K24" s="60"/>
      <c r="L24" s="60"/>
      <c r="M24" s="60"/>
      <c r="N24" s="60"/>
      <c r="O24" s="60"/>
      <c r="P24" s="60"/>
      <c r="Q24" s="60"/>
    </row>
    <row r="25" spans="2:17">
      <c r="G25" s="117"/>
      <c r="I25" s="151" t="s">
        <v>279</v>
      </c>
      <c r="J25" s="154">
        <f>(5-2)*D18/D19</f>
        <v>401.21416954577961</v>
      </c>
      <c r="K25" s="60"/>
      <c r="L25" s="60"/>
      <c r="M25" s="60"/>
      <c r="N25" s="60"/>
      <c r="O25" s="60"/>
      <c r="P25" s="60"/>
      <c r="Q25" s="60"/>
    </row>
    <row r="26" spans="2:17" ht="15.75" thickBot="1">
      <c r="I26" s="151" t="s">
        <v>12</v>
      </c>
      <c r="J26" s="155">
        <f>FDIST(F18,C18,C19)</f>
        <v>2.7197137731943218E-4</v>
      </c>
      <c r="K26" s="60" t="s">
        <v>280</v>
      </c>
      <c r="L26" s="60"/>
      <c r="M26" s="60"/>
      <c r="N26" s="60"/>
      <c r="O26" s="60"/>
      <c r="P26" s="60"/>
      <c r="Q26" s="60"/>
    </row>
    <row r="27" spans="2:17">
      <c r="B27" s="226" t="s">
        <v>206</v>
      </c>
      <c r="C27" s="227"/>
      <c r="D27" s="227"/>
      <c r="E27" s="227"/>
      <c r="F27" s="228"/>
      <c r="I27" s="143"/>
      <c r="J27" s="143"/>
      <c r="K27" s="60"/>
      <c r="L27" s="60"/>
      <c r="M27" s="60"/>
      <c r="N27" s="60"/>
      <c r="O27" s="60"/>
      <c r="P27" s="60"/>
      <c r="Q27" s="60"/>
    </row>
    <row r="28" spans="2:17" ht="15.75">
      <c r="B28" s="85" t="s">
        <v>230</v>
      </c>
      <c r="C28" s="86" t="s">
        <v>207</v>
      </c>
      <c r="D28" s="86" t="s">
        <v>208</v>
      </c>
      <c r="E28" s="86" t="s">
        <v>209</v>
      </c>
      <c r="F28" s="87" t="s">
        <v>210</v>
      </c>
      <c r="I28" s="56" t="s">
        <v>282</v>
      </c>
      <c r="J28" s="143"/>
      <c r="K28" s="60"/>
      <c r="L28" s="60"/>
      <c r="M28" s="60"/>
      <c r="N28" s="60"/>
      <c r="O28" s="60"/>
      <c r="P28" s="60"/>
      <c r="Q28" s="60"/>
    </row>
    <row r="29" spans="2:17">
      <c r="B29" s="88" t="s">
        <v>229</v>
      </c>
      <c r="C29" s="141">
        <v>23.284995425434715</v>
      </c>
      <c r="D29" s="89">
        <v>10.924897126576584</v>
      </c>
      <c r="E29" s="89">
        <v>2.1313697653765717</v>
      </c>
      <c r="F29" s="90">
        <v>0.12285177334352143</v>
      </c>
      <c r="I29" s="60"/>
      <c r="J29" s="60"/>
      <c r="K29" s="60"/>
      <c r="L29" s="60"/>
      <c r="M29" s="60"/>
      <c r="N29" s="60"/>
      <c r="O29" s="60"/>
      <c r="P29" s="60"/>
      <c r="Q29" s="60"/>
    </row>
    <row r="30" spans="2:17" ht="15.75" thickBot="1">
      <c r="B30" s="91" t="s">
        <v>234</v>
      </c>
      <c r="C30" s="142">
        <v>54.039341262580031</v>
      </c>
      <c r="D30" s="92">
        <v>2.6978755676914132</v>
      </c>
      <c r="E30" s="92">
        <v>20.030331239042944</v>
      </c>
      <c r="F30" s="93">
        <v>2.7197137734275809E-4</v>
      </c>
      <c r="I30" s="153" t="s">
        <v>283</v>
      </c>
      <c r="J30" s="153">
        <f>SQRT(E19)</f>
        <v>5.6410765315034235</v>
      </c>
      <c r="K30" s="60"/>
      <c r="L30" s="60"/>
      <c r="M30" s="60"/>
      <c r="N30" s="60"/>
      <c r="O30" s="60"/>
      <c r="P30" s="60"/>
      <c r="Q30" s="60"/>
    </row>
    <row r="31" spans="2:17">
      <c r="I31" s="145"/>
      <c r="J31" s="145"/>
      <c r="K31" s="145"/>
      <c r="L31" s="145"/>
      <c r="M31" s="145"/>
      <c r="N31" s="145"/>
      <c r="O31" s="60"/>
      <c r="P31" s="60"/>
      <c r="Q31" s="60"/>
    </row>
    <row r="32" spans="2:17" ht="15.75" thickBot="1">
      <c r="K32" s="143"/>
      <c r="L32" s="143"/>
      <c r="M32" s="143"/>
      <c r="N32" s="143"/>
      <c r="O32" s="60"/>
      <c r="P32" s="60"/>
      <c r="Q32" s="60"/>
    </row>
    <row r="33" spans="2:17">
      <c r="B33" s="105" t="s">
        <v>217</v>
      </c>
      <c r="C33" s="106" t="s">
        <v>218</v>
      </c>
      <c r="D33" s="106" t="s">
        <v>219</v>
      </c>
      <c r="E33" s="107" t="s">
        <v>220</v>
      </c>
      <c r="I33" s="143"/>
      <c r="J33" s="143"/>
      <c r="K33" s="143"/>
      <c r="L33" s="143"/>
      <c r="M33" s="143"/>
      <c r="N33" s="143"/>
      <c r="O33" s="60"/>
      <c r="P33" s="60"/>
      <c r="Q33" s="60"/>
    </row>
    <row r="34" spans="2:17" ht="15.75" thickBot="1">
      <c r="B34" s="91">
        <v>5.6410765315034235</v>
      </c>
      <c r="C34" s="92">
        <v>3</v>
      </c>
      <c r="D34" s="92">
        <v>0.99257819189423491</v>
      </c>
      <c r="E34" s="93">
        <v>0.99010425585897988</v>
      </c>
      <c r="I34" s="143"/>
      <c r="J34" s="143"/>
      <c r="K34" s="143"/>
      <c r="L34" s="143"/>
      <c r="M34" s="143"/>
      <c r="N34" s="143"/>
      <c r="O34" s="60"/>
      <c r="P34" s="60"/>
      <c r="Q34" s="60"/>
    </row>
    <row r="35" spans="2:17">
      <c r="I35" s="60"/>
      <c r="J35" s="60"/>
      <c r="K35" s="60"/>
      <c r="L35" s="60"/>
      <c r="M35" s="60"/>
      <c r="N35" s="60"/>
      <c r="O35" s="60"/>
      <c r="P35" s="60"/>
      <c r="Q35" s="60"/>
    </row>
    <row r="36" spans="2:17" ht="15.75" thickBot="1">
      <c r="I36" s="145"/>
      <c r="J36" s="145"/>
      <c r="K36" s="145"/>
      <c r="L36" s="145"/>
      <c r="M36" s="145"/>
      <c r="N36" s="145"/>
      <c r="O36" s="145"/>
      <c r="P36" s="145"/>
      <c r="Q36" s="145"/>
    </row>
    <row r="37" spans="2:17">
      <c r="B37" s="108" t="s">
        <v>211</v>
      </c>
      <c r="I37" s="143"/>
      <c r="J37" s="143"/>
      <c r="K37" s="143"/>
      <c r="L37" s="143"/>
      <c r="M37" s="143"/>
      <c r="N37" s="143"/>
      <c r="O37" s="143"/>
      <c r="P37" s="143"/>
      <c r="Q37" s="143"/>
    </row>
    <row r="38" spans="2:17">
      <c r="B38" s="109">
        <v>-2.5754803293687032</v>
      </c>
      <c r="I38" s="143"/>
      <c r="J38" s="143"/>
      <c r="K38" s="143"/>
      <c r="L38" s="143"/>
      <c r="M38" s="143"/>
      <c r="N38" s="143"/>
      <c r="O38" s="143"/>
      <c r="P38" s="143"/>
      <c r="Q38" s="143"/>
    </row>
    <row r="39" spans="2:17">
      <c r="B39" s="109">
        <v>7.749771271729184</v>
      </c>
      <c r="I39" s="60"/>
      <c r="J39" s="60"/>
      <c r="K39" s="60"/>
      <c r="L39" s="60"/>
      <c r="M39" s="60"/>
      <c r="N39" s="60"/>
      <c r="O39" s="60"/>
      <c r="P39" s="60"/>
      <c r="Q39" s="60"/>
    </row>
    <row r="40" spans="2:17">
      <c r="B40" s="109">
        <v>1.173376029277206</v>
      </c>
      <c r="I40" s="60"/>
      <c r="J40" s="60"/>
      <c r="K40" s="60"/>
      <c r="L40" s="60"/>
      <c r="M40" s="60"/>
      <c r="N40" s="60"/>
      <c r="O40" s="60"/>
      <c r="P40" s="60"/>
      <c r="Q40" s="60"/>
    </row>
    <row r="41" spans="2:17">
      <c r="B41" s="109">
        <v>-1.2698993595608381</v>
      </c>
      <c r="I41" s="60"/>
      <c r="J41" s="60"/>
      <c r="K41" s="60"/>
      <c r="L41" s="60"/>
      <c r="M41" s="60"/>
      <c r="N41" s="60"/>
      <c r="O41" s="60"/>
      <c r="P41" s="60"/>
      <c r="Q41" s="60"/>
    </row>
    <row r="42" spans="2:17" ht="15.75" thickBot="1">
      <c r="B42" s="110">
        <v>-5.0777676120768485</v>
      </c>
      <c r="I42" s="60"/>
      <c r="J42" s="60"/>
      <c r="K42" s="60"/>
      <c r="L42" s="60"/>
      <c r="M42" s="60"/>
      <c r="N42" s="60"/>
      <c r="O42" s="60"/>
      <c r="P42" s="60"/>
      <c r="Q42" s="60"/>
    </row>
    <row r="43" spans="2:17">
      <c r="I43" s="60"/>
      <c r="J43" s="60"/>
      <c r="K43" s="60"/>
      <c r="L43" s="60"/>
      <c r="M43" s="60"/>
      <c r="N43" s="60"/>
      <c r="O43" s="60"/>
      <c r="P43" s="60"/>
      <c r="Q43" s="60"/>
    </row>
    <row r="44" spans="2:17">
      <c r="I44" s="145"/>
      <c r="J44" s="145"/>
      <c r="K44" s="145"/>
      <c r="L44" s="145"/>
      <c r="M44" s="60"/>
      <c r="N44" s="60"/>
      <c r="O44" s="60"/>
      <c r="P44" s="60"/>
      <c r="Q44" s="60"/>
    </row>
    <row r="45" spans="2:17">
      <c r="I45" s="143"/>
      <c r="J45" s="143"/>
      <c r="K45" s="143"/>
      <c r="L45" s="143"/>
      <c r="M45" s="60"/>
      <c r="N45" s="60"/>
      <c r="O45" s="60"/>
      <c r="P45" s="60"/>
      <c r="Q45" s="60"/>
    </row>
    <row r="46" spans="2:17">
      <c r="I46" s="143"/>
      <c r="J46" s="143"/>
      <c r="K46" s="143"/>
      <c r="L46" s="143"/>
      <c r="M46" s="60"/>
      <c r="N46" s="60"/>
      <c r="O46" s="60"/>
      <c r="P46" s="60"/>
      <c r="Q46" s="60"/>
    </row>
    <row r="47" spans="2:17">
      <c r="I47" s="143"/>
      <c r="J47" s="143"/>
      <c r="K47" s="143"/>
      <c r="L47" s="143"/>
      <c r="M47" s="60"/>
      <c r="N47" s="60"/>
      <c r="O47" s="60"/>
      <c r="P47" s="60"/>
      <c r="Q47" s="60"/>
    </row>
    <row r="48" spans="2:17">
      <c r="I48" s="143"/>
      <c r="J48" s="143"/>
      <c r="K48" s="143"/>
      <c r="L48" s="143"/>
      <c r="M48" s="60"/>
      <c r="N48" s="60"/>
      <c r="O48" s="60"/>
      <c r="P48" s="60"/>
      <c r="Q48" s="60"/>
    </row>
    <row r="49" spans="9:17">
      <c r="I49" s="143"/>
      <c r="J49" s="143"/>
      <c r="K49" s="143"/>
      <c r="L49" s="143"/>
      <c r="M49" s="60"/>
      <c r="N49" s="60"/>
      <c r="O49" s="60"/>
      <c r="P49" s="60"/>
      <c r="Q49" s="60"/>
    </row>
    <row r="50" spans="9:17">
      <c r="I50" s="60"/>
      <c r="J50" s="60"/>
      <c r="K50" s="60"/>
      <c r="L50" s="60"/>
      <c r="M50" s="60"/>
      <c r="N50" s="60"/>
      <c r="O50" s="60"/>
      <c r="P50" s="60"/>
      <c r="Q50" s="60"/>
    </row>
  </sheetData>
  <mergeCells count="5">
    <mergeCell ref="B4:C4"/>
    <mergeCell ref="B16:G16"/>
    <mergeCell ref="B22:G22"/>
    <mergeCell ref="B27:F27"/>
    <mergeCell ref="B2:G2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2:F104"/>
  <sheetViews>
    <sheetView showGridLines="0" zoomScale="85" zoomScaleNormal="85" workbookViewId="0">
      <selection activeCell="B2" sqref="B2:F2"/>
    </sheetView>
  </sheetViews>
  <sheetFormatPr defaultRowHeight="15"/>
  <cols>
    <col min="2" max="2" width="30.7109375" bestFit="1" customWidth="1"/>
    <col min="3" max="3" width="30.42578125" customWidth="1"/>
    <col min="4" max="4" width="16.85546875" bestFit="1" customWidth="1"/>
    <col min="5" max="5" width="10.42578125" style="46" bestFit="1" customWidth="1"/>
    <col min="6" max="6" width="16.28515625" style="46" bestFit="1" customWidth="1"/>
  </cols>
  <sheetData>
    <row r="2" spans="2:6" ht="15.75">
      <c r="B2" s="230" t="s">
        <v>243</v>
      </c>
      <c r="C2" s="230"/>
      <c r="D2" s="230"/>
      <c r="E2" s="230"/>
      <c r="F2" s="230"/>
    </row>
    <row r="4" spans="2:6">
      <c r="B4" s="118" t="s">
        <v>238</v>
      </c>
      <c r="C4" s="119" t="s">
        <v>237</v>
      </c>
      <c r="D4" s="119" t="s">
        <v>236</v>
      </c>
      <c r="E4" s="120" t="s">
        <v>235</v>
      </c>
      <c r="F4" s="121" t="s">
        <v>239</v>
      </c>
    </row>
    <row r="5" spans="2:6">
      <c r="B5" s="60" t="s">
        <v>62</v>
      </c>
      <c r="C5" s="60" t="s">
        <v>63</v>
      </c>
      <c r="D5" s="60" t="s">
        <v>64</v>
      </c>
      <c r="E5" s="1">
        <v>23016</v>
      </c>
      <c r="F5" s="1">
        <v>2745</v>
      </c>
    </row>
    <row r="6" spans="2:6">
      <c r="B6" s="60" t="s">
        <v>65</v>
      </c>
      <c r="C6" s="60" t="s">
        <v>66</v>
      </c>
      <c r="D6" s="60" t="s">
        <v>67</v>
      </c>
      <c r="E6" s="1">
        <v>28944</v>
      </c>
      <c r="F6" s="1">
        <v>4151</v>
      </c>
    </row>
    <row r="7" spans="2:6">
      <c r="B7" s="60" t="s">
        <v>68</v>
      </c>
      <c r="C7" s="60" t="s">
        <v>66</v>
      </c>
      <c r="D7" s="60" t="s">
        <v>64</v>
      </c>
      <c r="E7" s="1">
        <v>41078</v>
      </c>
      <c r="F7" s="1">
        <v>8301</v>
      </c>
    </row>
    <row r="8" spans="2:6">
      <c r="B8" s="60" t="s">
        <v>69</v>
      </c>
      <c r="C8" s="60" t="s">
        <v>70</v>
      </c>
      <c r="D8" s="60" t="s">
        <v>71</v>
      </c>
      <c r="E8" s="1">
        <v>35737</v>
      </c>
      <c r="F8" s="1">
        <v>2077</v>
      </c>
    </row>
    <row r="9" spans="2:6">
      <c r="B9" s="60" t="s">
        <v>72</v>
      </c>
      <c r="C9" s="60" t="s">
        <v>73</v>
      </c>
      <c r="D9" s="60" t="s">
        <v>71</v>
      </c>
      <c r="E9" s="1">
        <v>29311</v>
      </c>
      <c r="F9" s="1">
        <v>1456</v>
      </c>
    </row>
    <row r="10" spans="2:6">
      <c r="B10" s="60" t="s">
        <v>74</v>
      </c>
      <c r="C10" s="60" t="s">
        <v>73</v>
      </c>
      <c r="D10" s="60" t="s">
        <v>75</v>
      </c>
      <c r="E10" s="1">
        <v>30142</v>
      </c>
      <c r="F10" s="1">
        <v>1714</v>
      </c>
    </row>
    <row r="11" spans="2:6">
      <c r="B11" s="60" t="s">
        <v>76</v>
      </c>
      <c r="C11" s="60" t="s">
        <v>77</v>
      </c>
      <c r="D11" s="60" t="s">
        <v>75</v>
      </c>
      <c r="E11" s="1">
        <v>60706</v>
      </c>
      <c r="F11" s="1">
        <v>10923</v>
      </c>
    </row>
    <row r="12" spans="2:6">
      <c r="B12" s="60" t="s">
        <v>78</v>
      </c>
      <c r="C12" s="60" t="s">
        <v>73</v>
      </c>
      <c r="D12" s="60" t="s">
        <v>75</v>
      </c>
      <c r="E12" s="1">
        <v>70272</v>
      </c>
      <c r="F12" s="1">
        <v>5493</v>
      </c>
    </row>
    <row r="13" spans="2:6">
      <c r="B13" s="60" t="s">
        <v>79</v>
      </c>
      <c r="C13" s="60" t="s">
        <v>73</v>
      </c>
      <c r="D13" s="60" t="s">
        <v>80</v>
      </c>
      <c r="E13" s="1">
        <v>61768</v>
      </c>
      <c r="F13" s="1">
        <v>893</v>
      </c>
    </row>
    <row r="14" spans="2:6">
      <c r="B14" s="60" t="s">
        <v>81</v>
      </c>
      <c r="C14" s="60" t="s">
        <v>70</v>
      </c>
      <c r="D14" s="60" t="s">
        <v>82</v>
      </c>
      <c r="E14" s="1">
        <v>27120</v>
      </c>
      <c r="F14" s="1">
        <v>2115</v>
      </c>
    </row>
    <row r="15" spans="2:6">
      <c r="B15" s="60" t="s">
        <v>83</v>
      </c>
      <c r="C15" s="60" t="s">
        <v>70</v>
      </c>
      <c r="D15" s="60" t="s">
        <v>75</v>
      </c>
      <c r="E15" s="1">
        <v>46690</v>
      </c>
      <c r="F15" s="1">
        <v>9494</v>
      </c>
    </row>
    <row r="16" spans="2:6">
      <c r="B16" s="60" t="s">
        <v>84</v>
      </c>
      <c r="C16" s="60" t="s">
        <v>70</v>
      </c>
      <c r="D16" s="60" t="s">
        <v>75</v>
      </c>
      <c r="E16" s="1">
        <v>21844</v>
      </c>
      <c r="F16" s="1">
        <v>3326</v>
      </c>
    </row>
    <row r="17" spans="2:6">
      <c r="B17" s="60" t="s">
        <v>85</v>
      </c>
      <c r="C17" s="60" t="s">
        <v>70</v>
      </c>
      <c r="D17" s="60" t="s">
        <v>86</v>
      </c>
      <c r="E17" s="1">
        <v>26565</v>
      </c>
      <c r="F17" s="1">
        <v>3348</v>
      </c>
    </row>
    <row r="18" spans="2:6">
      <c r="B18" t="s">
        <v>87</v>
      </c>
      <c r="C18" t="s">
        <v>88</v>
      </c>
      <c r="D18" t="s">
        <v>89</v>
      </c>
      <c r="E18" s="46">
        <v>30319</v>
      </c>
      <c r="F18" s="46">
        <v>1416</v>
      </c>
    </row>
    <row r="19" spans="2:6">
      <c r="B19" t="s">
        <v>90</v>
      </c>
      <c r="C19" t="s">
        <v>70</v>
      </c>
      <c r="D19" t="s">
        <v>82</v>
      </c>
      <c r="E19" s="46">
        <v>21384</v>
      </c>
      <c r="F19" s="46">
        <v>1618</v>
      </c>
    </row>
    <row r="20" spans="2:6">
      <c r="B20" t="s">
        <v>91</v>
      </c>
      <c r="C20" t="s">
        <v>66</v>
      </c>
      <c r="D20" t="s">
        <v>75</v>
      </c>
      <c r="E20" s="46">
        <v>22374</v>
      </c>
      <c r="F20" s="46">
        <v>2468</v>
      </c>
    </row>
    <row r="21" spans="2:6">
      <c r="B21" t="s">
        <v>92</v>
      </c>
      <c r="C21" t="s">
        <v>73</v>
      </c>
      <c r="D21" t="s">
        <v>75</v>
      </c>
      <c r="E21" s="46">
        <v>44255</v>
      </c>
      <c r="F21" s="46">
        <v>5100</v>
      </c>
    </row>
    <row r="22" spans="2:6">
      <c r="B22" t="s">
        <v>93</v>
      </c>
      <c r="C22" t="s">
        <v>94</v>
      </c>
      <c r="D22" t="s">
        <v>89</v>
      </c>
      <c r="E22" s="46">
        <v>39793</v>
      </c>
      <c r="F22" s="46">
        <v>1901</v>
      </c>
    </row>
    <row r="23" spans="2:6">
      <c r="B23" t="s">
        <v>95</v>
      </c>
      <c r="C23" t="s">
        <v>70</v>
      </c>
      <c r="D23" t="s">
        <v>80</v>
      </c>
      <c r="E23" s="46">
        <v>50881</v>
      </c>
      <c r="F23" s="46">
        <v>3101</v>
      </c>
    </row>
    <row r="24" spans="2:6">
      <c r="B24" t="s">
        <v>96</v>
      </c>
      <c r="C24" t="s">
        <v>97</v>
      </c>
      <c r="D24" t="s">
        <v>75</v>
      </c>
      <c r="E24" s="46">
        <v>52508</v>
      </c>
      <c r="F24" s="46">
        <v>1263</v>
      </c>
    </row>
    <row r="25" spans="2:6">
      <c r="B25" t="s">
        <v>98</v>
      </c>
      <c r="C25" t="s">
        <v>99</v>
      </c>
      <c r="D25" t="s">
        <v>86</v>
      </c>
      <c r="E25" s="46">
        <v>178721</v>
      </c>
      <c r="F25" s="46">
        <v>6845</v>
      </c>
    </row>
    <row r="26" spans="2:6">
      <c r="B26" t="s">
        <v>100</v>
      </c>
      <c r="C26" t="s">
        <v>101</v>
      </c>
      <c r="D26" t="s">
        <v>80</v>
      </c>
      <c r="E26" s="46">
        <v>64683</v>
      </c>
      <c r="F26" s="46">
        <v>1293</v>
      </c>
    </row>
    <row r="27" spans="2:6">
      <c r="B27" t="s">
        <v>102</v>
      </c>
      <c r="C27" t="s">
        <v>99</v>
      </c>
      <c r="D27" t="s">
        <v>75</v>
      </c>
      <c r="E27" s="46">
        <v>101490</v>
      </c>
      <c r="F27" s="46">
        <v>2523</v>
      </c>
    </row>
    <row r="28" spans="2:6">
      <c r="B28" t="s">
        <v>103</v>
      </c>
      <c r="C28" t="s">
        <v>104</v>
      </c>
      <c r="D28" t="s">
        <v>105</v>
      </c>
      <c r="E28" s="46">
        <v>15532</v>
      </c>
      <c r="F28" s="46">
        <v>3956</v>
      </c>
    </row>
    <row r="29" spans="2:6">
      <c r="B29" t="s">
        <v>106</v>
      </c>
      <c r="C29" t="s">
        <v>99</v>
      </c>
      <c r="D29" t="s">
        <v>107</v>
      </c>
      <c r="E29" s="46">
        <v>39167</v>
      </c>
      <c r="F29" s="46">
        <v>1943</v>
      </c>
    </row>
    <row r="30" spans="2:6">
      <c r="B30" t="s">
        <v>108</v>
      </c>
      <c r="C30" t="s">
        <v>109</v>
      </c>
      <c r="D30" t="s">
        <v>75</v>
      </c>
      <c r="E30" s="46">
        <v>19005</v>
      </c>
      <c r="F30" s="46">
        <v>3368</v>
      </c>
    </row>
    <row r="31" spans="2:6">
      <c r="B31" t="s">
        <v>110</v>
      </c>
      <c r="C31" t="s">
        <v>63</v>
      </c>
      <c r="D31" t="s">
        <v>75</v>
      </c>
      <c r="E31" s="46">
        <v>93101</v>
      </c>
      <c r="F31" s="46">
        <v>14536</v>
      </c>
    </row>
    <row r="32" spans="2:6">
      <c r="B32" t="s">
        <v>111</v>
      </c>
      <c r="C32" t="s">
        <v>112</v>
      </c>
      <c r="D32" t="s">
        <v>75</v>
      </c>
      <c r="E32" s="46">
        <v>19983</v>
      </c>
      <c r="F32" s="46">
        <v>4079</v>
      </c>
    </row>
    <row r="33" spans="2:6">
      <c r="B33" t="s">
        <v>113</v>
      </c>
      <c r="C33" t="s">
        <v>99</v>
      </c>
      <c r="D33" t="s">
        <v>75</v>
      </c>
      <c r="E33" s="46">
        <v>75549</v>
      </c>
      <c r="F33" s="46">
        <v>1115</v>
      </c>
    </row>
    <row r="34" spans="2:6">
      <c r="B34" t="s">
        <v>114</v>
      </c>
      <c r="C34" t="s">
        <v>70</v>
      </c>
      <c r="D34" t="s">
        <v>80</v>
      </c>
      <c r="E34" s="46">
        <v>42817</v>
      </c>
      <c r="F34" s="46">
        <v>1001</v>
      </c>
    </row>
    <row r="35" spans="2:6">
      <c r="B35" t="s">
        <v>115</v>
      </c>
      <c r="C35" t="s">
        <v>70</v>
      </c>
      <c r="D35" t="s">
        <v>80</v>
      </c>
      <c r="E35" s="46">
        <v>17706</v>
      </c>
      <c r="F35" s="46">
        <v>803</v>
      </c>
    </row>
    <row r="36" spans="2:6">
      <c r="B36" t="s">
        <v>116</v>
      </c>
      <c r="C36" t="s">
        <v>94</v>
      </c>
      <c r="D36" t="s">
        <v>89</v>
      </c>
      <c r="E36" s="46">
        <v>140777</v>
      </c>
      <c r="F36" s="46">
        <v>4590</v>
      </c>
    </row>
    <row r="37" spans="2:6">
      <c r="B37" t="s">
        <v>117</v>
      </c>
      <c r="C37" t="s">
        <v>70</v>
      </c>
      <c r="D37" t="s">
        <v>118</v>
      </c>
      <c r="E37" s="46">
        <v>19561</v>
      </c>
      <c r="F37" s="46">
        <v>1223</v>
      </c>
    </row>
    <row r="38" spans="2:6">
      <c r="B38" t="s">
        <v>119</v>
      </c>
      <c r="C38" t="s">
        <v>120</v>
      </c>
      <c r="D38" t="s">
        <v>89</v>
      </c>
      <c r="E38" s="46">
        <v>33999</v>
      </c>
      <c r="F38" s="46">
        <v>2434</v>
      </c>
    </row>
    <row r="39" spans="2:6">
      <c r="B39" t="s">
        <v>121</v>
      </c>
      <c r="C39" t="s">
        <v>88</v>
      </c>
      <c r="D39" t="s">
        <v>75</v>
      </c>
      <c r="E39" s="46">
        <v>24872</v>
      </c>
      <c r="F39" s="46">
        <v>1926</v>
      </c>
    </row>
    <row r="40" spans="2:6">
      <c r="B40" t="s">
        <v>122</v>
      </c>
      <c r="C40" t="s">
        <v>120</v>
      </c>
      <c r="D40" t="s">
        <v>123</v>
      </c>
      <c r="E40" s="46">
        <v>28212</v>
      </c>
      <c r="F40" s="46">
        <v>1890</v>
      </c>
    </row>
    <row r="41" spans="2:6">
      <c r="B41" t="s">
        <v>124</v>
      </c>
      <c r="C41" t="s">
        <v>99</v>
      </c>
      <c r="D41" t="s">
        <v>123</v>
      </c>
      <c r="E41" s="46">
        <v>46117</v>
      </c>
      <c r="F41" s="46">
        <v>4323</v>
      </c>
    </row>
    <row r="42" spans="2:6">
      <c r="B42" t="s">
        <v>125</v>
      </c>
      <c r="C42" t="s">
        <v>99</v>
      </c>
      <c r="D42" t="s">
        <v>75</v>
      </c>
      <c r="E42" s="46">
        <v>195465</v>
      </c>
      <c r="F42" s="46">
        <v>15860</v>
      </c>
    </row>
    <row r="43" spans="2:6">
      <c r="B43" t="s">
        <v>126</v>
      </c>
      <c r="C43" t="s">
        <v>63</v>
      </c>
      <c r="D43" t="s">
        <v>75</v>
      </c>
      <c r="E43" s="46">
        <v>53128</v>
      </c>
      <c r="F43" s="46">
        <v>5351</v>
      </c>
    </row>
    <row r="44" spans="2:6">
      <c r="B44" t="s">
        <v>127</v>
      </c>
      <c r="C44" t="s">
        <v>70</v>
      </c>
      <c r="D44" t="s">
        <v>75</v>
      </c>
      <c r="E44" s="46">
        <v>14521</v>
      </c>
      <c r="F44" s="46">
        <v>1020</v>
      </c>
    </row>
    <row r="45" spans="2:6">
      <c r="B45" t="s">
        <v>128</v>
      </c>
      <c r="C45" t="s">
        <v>94</v>
      </c>
      <c r="D45" t="s">
        <v>75</v>
      </c>
      <c r="E45" s="46">
        <v>164013</v>
      </c>
      <c r="F45" s="46">
        <v>1010</v>
      </c>
    </row>
    <row r="46" spans="2:6">
      <c r="B46" t="s">
        <v>129</v>
      </c>
      <c r="C46" t="s">
        <v>63</v>
      </c>
      <c r="D46" t="s">
        <v>71</v>
      </c>
      <c r="E46" s="46">
        <v>44174</v>
      </c>
      <c r="F46" s="46">
        <v>501</v>
      </c>
    </row>
    <row r="47" spans="2:6">
      <c r="B47" t="s">
        <v>130</v>
      </c>
      <c r="C47" t="s">
        <v>63</v>
      </c>
      <c r="D47" t="s">
        <v>75</v>
      </c>
      <c r="E47" s="46">
        <v>36773</v>
      </c>
      <c r="F47" s="46">
        <v>5764</v>
      </c>
    </row>
    <row r="48" spans="2:6">
      <c r="B48" t="s">
        <v>131</v>
      </c>
      <c r="C48" t="s">
        <v>132</v>
      </c>
      <c r="D48" t="s">
        <v>75</v>
      </c>
      <c r="E48" s="46">
        <v>130483</v>
      </c>
      <c r="F48" s="46">
        <v>14829</v>
      </c>
    </row>
    <row r="49" spans="2:6">
      <c r="B49" t="s">
        <v>133</v>
      </c>
      <c r="C49" t="s">
        <v>94</v>
      </c>
      <c r="D49" t="s">
        <v>75</v>
      </c>
      <c r="E49" s="46">
        <v>189100</v>
      </c>
      <c r="F49" s="46">
        <v>2991</v>
      </c>
    </row>
    <row r="50" spans="2:6">
      <c r="B50" t="s">
        <v>134</v>
      </c>
      <c r="C50" t="s">
        <v>135</v>
      </c>
      <c r="D50" t="s">
        <v>86</v>
      </c>
      <c r="E50" s="46">
        <v>31845</v>
      </c>
      <c r="F50" s="46">
        <v>5907</v>
      </c>
    </row>
    <row r="51" spans="2:6">
      <c r="B51" t="s">
        <v>136</v>
      </c>
      <c r="C51" t="s">
        <v>63</v>
      </c>
      <c r="D51" t="s">
        <v>75</v>
      </c>
      <c r="E51" s="46">
        <v>23248</v>
      </c>
      <c r="F51" s="46">
        <v>2252</v>
      </c>
    </row>
    <row r="52" spans="2:6">
      <c r="B52" t="s">
        <v>137</v>
      </c>
      <c r="C52" t="s">
        <v>70</v>
      </c>
      <c r="D52" t="s">
        <v>86</v>
      </c>
      <c r="E52" s="46">
        <v>30234</v>
      </c>
      <c r="F52" s="46">
        <v>2876</v>
      </c>
    </row>
    <row r="53" spans="2:6">
      <c r="B53" t="s">
        <v>138</v>
      </c>
      <c r="C53" t="s">
        <v>139</v>
      </c>
      <c r="D53" t="s">
        <v>75</v>
      </c>
      <c r="E53" s="46">
        <v>59069</v>
      </c>
      <c r="F53" s="46">
        <v>3715</v>
      </c>
    </row>
    <row r="54" spans="2:6">
      <c r="B54" t="s">
        <v>140</v>
      </c>
      <c r="C54" t="s">
        <v>94</v>
      </c>
      <c r="D54" t="s">
        <v>141</v>
      </c>
      <c r="E54" s="46">
        <v>65352</v>
      </c>
      <c r="F54" s="46">
        <v>3498</v>
      </c>
    </row>
    <row r="55" spans="2:6">
      <c r="B55" t="s">
        <v>142</v>
      </c>
      <c r="C55" t="s">
        <v>70</v>
      </c>
      <c r="D55" t="s">
        <v>86</v>
      </c>
      <c r="E55" s="46">
        <v>41151</v>
      </c>
      <c r="F55" s="46">
        <v>6239</v>
      </c>
    </row>
    <row r="56" spans="2:6">
      <c r="B56" t="s">
        <v>143</v>
      </c>
      <c r="C56" t="s">
        <v>63</v>
      </c>
      <c r="D56" t="s">
        <v>71</v>
      </c>
      <c r="E56" s="46">
        <v>87754</v>
      </c>
      <c r="F56" s="46">
        <v>4235</v>
      </c>
    </row>
    <row r="57" spans="2:6">
      <c r="B57" t="s">
        <v>144</v>
      </c>
      <c r="C57" t="s">
        <v>145</v>
      </c>
      <c r="D57" t="s">
        <v>75</v>
      </c>
      <c r="E57" s="46">
        <v>26734</v>
      </c>
      <c r="F57" s="46">
        <v>3096</v>
      </c>
    </row>
    <row r="58" spans="2:6">
      <c r="B58" t="s">
        <v>146</v>
      </c>
      <c r="C58" t="s">
        <v>147</v>
      </c>
      <c r="D58" t="s">
        <v>75</v>
      </c>
      <c r="E58" s="46">
        <v>83221</v>
      </c>
      <c r="F58" s="46">
        <v>3771</v>
      </c>
    </row>
    <row r="59" spans="2:6">
      <c r="B59" t="s">
        <v>148</v>
      </c>
      <c r="C59" t="s">
        <v>135</v>
      </c>
      <c r="D59" t="s">
        <v>75</v>
      </c>
      <c r="E59" s="46">
        <v>37376</v>
      </c>
      <c r="F59" s="46">
        <v>6833</v>
      </c>
    </row>
    <row r="60" spans="2:6">
      <c r="B60" t="s">
        <v>149</v>
      </c>
      <c r="C60" t="s">
        <v>63</v>
      </c>
      <c r="D60" t="s">
        <v>75</v>
      </c>
      <c r="E60" s="46">
        <v>43869</v>
      </c>
      <c r="F60" s="46">
        <v>2081</v>
      </c>
    </row>
    <row r="61" spans="2:6">
      <c r="B61" t="s">
        <v>150</v>
      </c>
      <c r="C61" t="s">
        <v>70</v>
      </c>
      <c r="D61" t="s">
        <v>86</v>
      </c>
      <c r="E61" s="46">
        <v>22370</v>
      </c>
      <c r="F61" s="46">
        <v>2674</v>
      </c>
    </row>
    <row r="62" spans="2:6">
      <c r="B62" t="s">
        <v>151</v>
      </c>
      <c r="C62" t="s">
        <v>135</v>
      </c>
      <c r="D62" t="s">
        <v>75</v>
      </c>
      <c r="E62" s="46">
        <v>53009</v>
      </c>
      <c r="F62" s="46">
        <v>7235</v>
      </c>
    </row>
    <row r="63" spans="2:6">
      <c r="B63" t="s">
        <v>152</v>
      </c>
      <c r="C63" t="s">
        <v>63</v>
      </c>
      <c r="D63" t="s">
        <v>75</v>
      </c>
      <c r="E63" s="46">
        <v>26877</v>
      </c>
      <c r="F63" s="46">
        <v>2741</v>
      </c>
    </row>
    <row r="64" spans="2:6">
      <c r="B64" t="s">
        <v>153</v>
      </c>
      <c r="C64" t="s">
        <v>73</v>
      </c>
      <c r="D64" t="s">
        <v>75</v>
      </c>
      <c r="E64" s="46">
        <v>33549</v>
      </c>
      <c r="F64" s="46">
        <v>1643</v>
      </c>
    </row>
    <row r="65" spans="2:6">
      <c r="B65" t="s">
        <v>154</v>
      </c>
      <c r="C65" t="s">
        <v>155</v>
      </c>
      <c r="D65" t="s">
        <v>75</v>
      </c>
      <c r="E65" s="46">
        <v>31375</v>
      </c>
      <c r="F65" s="46">
        <v>9597</v>
      </c>
    </row>
    <row r="66" spans="2:6">
      <c r="B66" t="s">
        <v>156</v>
      </c>
      <c r="C66" t="s">
        <v>63</v>
      </c>
      <c r="D66" t="s">
        <v>75</v>
      </c>
      <c r="E66" s="46">
        <v>31844</v>
      </c>
      <c r="F66" s="46">
        <v>3132</v>
      </c>
    </row>
    <row r="67" spans="2:6">
      <c r="B67" t="s">
        <v>157</v>
      </c>
      <c r="C67" t="s">
        <v>73</v>
      </c>
      <c r="D67" t="s">
        <v>89</v>
      </c>
      <c r="E67" s="46">
        <v>40708</v>
      </c>
      <c r="F67" s="46">
        <v>1017</v>
      </c>
    </row>
    <row r="68" spans="2:6">
      <c r="B68" t="s">
        <v>158</v>
      </c>
      <c r="C68" t="s">
        <v>70</v>
      </c>
      <c r="D68" t="s">
        <v>159</v>
      </c>
      <c r="E68" s="46">
        <v>11458</v>
      </c>
      <c r="F68" s="46">
        <v>1796</v>
      </c>
    </row>
    <row r="69" spans="2:6">
      <c r="B69" t="s">
        <v>160</v>
      </c>
      <c r="C69" t="s">
        <v>77</v>
      </c>
      <c r="D69" t="s">
        <v>161</v>
      </c>
      <c r="E69" s="46">
        <v>57204</v>
      </c>
      <c r="F69" s="46">
        <v>4853</v>
      </c>
    </row>
    <row r="70" spans="2:6">
      <c r="B70" t="s">
        <v>162</v>
      </c>
      <c r="C70" t="s">
        <v>66</v>
      </c>
      <c r="D70" t="s">
        <v>141</v>
      </c>
      <c r="E70" s="46">
        <v>89550</v>
      </c>
      <c r="F70" s="46">
        <v>2101</v>
      </c>
    </row>
    <row r="71" spans="2:6">
      <c r="B71" t="s">
        <v>163</v>
      </c>
      <c r="C71" t="s">
        <v>94</v>
      </c>
      <c r="D71" t="s">
        <v>141</v>
      </c>
      <c r="E71" s="46">
        <v>55982</v>
      </c>
      <c r="F71" s="46">
        <v>4059</v>
      </c>
    </row>
    <row r="72" spans="2:6">
      <c r="B72" t="s">
        <v>164</v>
      </c>
      <c r="C72" t="s">
        <v>109</v>
      </c>
      <c r="D72" t="s">
        <v>165</v>
      </c>
      <c r="E72" s="46">
        <v>28249</v>
      </c>
      <c r="F72" s="46">
        <v>3182</v>
      </c>
    </row>
    <row r="73" spans="2:6">
      <c r="B73" t="s">
        <v>166</v>
      </c>
      <c r="C73" t="s">
        <v>135</v>
      </c>
      <c r="D73" t="s">
        <v>161</v>
      </c>
      <c r="E73" s="46">
        <v>20795</v>
      </c>
      <c r="F73" s="46">
        <v>4692</v>
      </c>
    </row>
    <row r="74" spans="2:6">
      <c r="B74" t="s">
        <v>167</v>
      </c>
      <c r="C74" t="s">
        <v>99</v>
      </c>
      <c r="D74" t="s">
        <v>107</v>
      </c>
      <c r="E74" s="46">
        <v>29531</v>
      </c>
      <c r="F74" s="46">
        <v>5668</v>
      </c>
    </row>
    <row r="75" spans="2:6">
      <c r="B75" t="s">
        <v>168</v>
      </c>
      <c r="C75" t="s">
        <v>94</v>
      </c>
      <c r="D75" t="s">
        <v>80</v>
      </c>
      <c r="E75" s="46">
        <v>51231</v>
      </c>
      <c r="F75" s="46">
        <v>1591</v>
      </c>
    </row>
    <row r="76" spans="2:6">
      <c r="B76" t="s">
        <v>169</v>
      </c>
      <c r="C76" t="s">
        <v>135</v>
      </c>
      <c r="D76" t="s">
        <v>75</v>
      </c>
      <c r="E76" s="46">
        <v>33151</v>
      </c>
      <c r="F76" s="46">
        <v>11858</v>
      </c>
    </row>
    <row r="77" spans="2:6">
      <c r="B77" t="s">
        <v>170</v>
      </c>
      <c r="C77" t="s">
        <v>171</v>
      </c>
      <c r="D77" t="s">
        <v>75</v>
      </c>
      <c r="E77" s="46">
        <v>42626</v>
      </c>
      <c r="F77" s="46">
        <v>5141</v>
      </c>
    </row>
    <row r="78" spans="2:6">
      <c r="B78" t="s">
        <v>172</v>
      </c>
      <c r="C78" t="s">
        <v>99</v>
      </c>
      <c r="D78" t="s">
        <v>82</v>
      </c>
      <c r="E78" s="46">
        <v>29136</v>
      </c>
      <c r="F78" s="46">
        <v>1837</v>
      </c>
    </row>
    <row r="79" spans="2:6">
      <c r="B79" t="s">
        <v>173</v>
      </c>
      <c r="C79" t="s">
        <v>70</v>
      </c>
      <c r="D79" t="s">
        <v>174</v>
      </c>
      <c r="E79" s="46">
        <v>14775</v>
      </c>
      <c r="F79" s="46">
        <v>1842</v>
      </c>
    </row>
    <row r="80" spans="2:6">
      <c r="B80" t="s">
        <v>175</v>
      </c>
      <c r="C80" t="s">
        <v>70</v>
      </c>
      <c r="D80" t="s">
        <v>86</v>
      </c>
      <c r="E80" s="46">
        <v>35267</v>
      </c>
      <c r="F80" s="46">
        <v>4615</v>
      </c>
    </row>
    <row r="81" spans="2:6">
      <c r="B81" t="s">
        <v>176</v>
      </c>
      <c r="C81" t="s">
        <v>99</v>
      </c>
      <c r="D81" t="s">
        <v>71</v>
      </c>
      <c r="E81" s="46">
        <v>179431</v>
      </c>
      <c r="F81" s="46">
        <v>9419</v>
      </c>
    </row>
    <row r="82" spans="2:6">
      <c r="B82" t="s">
        <v>177</v>
      </c>
      <c r="C82" t="s">
        <v>178</v>
      </c>
      <c r="D82" t="s">
        <v>89</v>
      </c>
      <c r="E82" s="46">
        <v>40927</v>
      </c>
      <c r="F82" s="46">
        <v>988</v>
      </c>
    </row>
    <row r="83" spans="2:6">
      <c r="B83" t="s">
        <v>179</v>
      </c>
      <c r="C83" t="s">
        <v>145</v>
      </c>
      <c r="D83" t="s">
        <v>180</v>
      </c>
      <c r="E83" s="46">
        <v>47613</v>
      </c>
      <c r="F83" s="46">
        <v>5637</v>
      </c>
    </row>
    <row r="84" spans="2:6">
      <c r="B84" t="s">
        <v>181</v>
      </c>
      <c r="C84" t="s">
        <v>132</v>
      </c>
      <c r="D84" t="s">
        <v>89</v>
      </c>
      <c r="E84" s="46">
        <v>77013</v>
      </c>
      <c r="F84" s="46">
        <v>2381</v>
      </c>
    </row>
    <row r="85" spans="2:6">
      <c r="B85" t="s">
        <v>182</v>
      </c>
      <c r="C85" t="s">
        <v>70</v>
      </c>
      <c r="D85" t="s">
        <v>80</v>
      </c>
      <c r="E85" s="46">
        <v>31827</v>
      </c>
      <c r="F85" s="46">
        <v>1315</v>
      </c>
    </row>
    <row r="86" spans="2:6">
      <c r="B86" t="s">
        <v>183</v>
      </c>
      <c r="C86" t="s">
        <v>184</v>
      </c>
      <c r="D86" t="s">
        <v>141</v>
      </c>
      <c r="E86" s="46">
        <v>61270</v>
      </c>
      <c r="F86" s="46">
        <v>947</v>
      </c>
    </row>
    <row r="87" spans="2:6">
      <c r="B87" t="s">
        <v>185</v>
      </c>
      <c r="C87" t="s">
        <v>186</v>
      </c>
      <c r="D87" t="s">
        <v>75</v>
      </c>
      <c r="E87" s="46">
        <v>44645</v>
      </c>
      <c r="F87" s="46">
        <v>1658</v>
      </c>
    </row>
    <row r="88" spans="2:6">
      <c r="B88" t="s">
        <v>187</v>
      </c>
      <c r="C88" t="s">
        <v>120</v>
      </c>
      <c r="D88" t="s">
        <v>141</v>
      </c>
      <c r="E88" s="46">
        <v>40328</v>
      </c>
      <c r="F88" s="46">
        <v>1354</v>
      </c>
    </row>
    <row r="89" spans="2:6">
      <c r="B89" t="s">
        <v>188</v>
      </c>
      <c r="C89" t="s">
        <v>99</v>
      </c>
      <c r="D89" t="s">
        <v>80</v>
      </c>
      <c r="E89" s="46">
        <v>96504</v>
      </c>
      <c r="F89" s="46">
        <v>5591</v>
      </c>
    </row>
    <row r="90" spans="2:6">
      <c r="B90" t="s">
        <v>189</v>
      </c>
      <c r="C90" t="s">
        <v>94</v>
      </c>
      <c r="D90" t="s">
        <v>141</v>
      </c>
      <c r="E90" s="46">
        <v>131616</v>
      </c>
      <c r="F90" s="46">
        <v>7745</v>
      </c>
    </row>
    <row r="91" spans="2:6">
      <c r="B91" t="s">
        <v>190</v>
      </c>
      <c r="C91" t="s">
        <v>63</v>
      </c>
      <c r="D91" t="s">
        <v>161</v>
      </c>
      <c r="E91" s="46">
        <v>43371</v>
      </c>
      <c r="F91" s="46">
        <v>2268</v>
      </c>
    </row>
    <row r="92" spans="2:6">
      <c r="B92" t="s">
        <v>191</v>
      </c>
      <c r="C92" t="s">
        <v>70</v>
      </c>
      <c r="D92" t="s">
        <v>123</v>
      </c>
      <c r="E92" s="46">
        <v>14979</v>
      </c>
      <c r="F92" s="46">
        <v>1695</v>
      </c>
    </row>
    <row r="93" spans="2:6">
      <c r="B93" t="s">
        <v>192</v>
      </c>
      <c r="C93" t="s">
        <v>77</v>
      </c>
      <c r="D93" t="s">
        <v>71</v>
      </c>
      <c r="E93" s="46">
        <v>45428</v>
      </c>
      <c r="F93" s="46">
        <v>2004</v>
      </c>
    </row>
    <row r="94" spans="2:6">
      <c r="B94" t="s">
        <v>193</v>
      </c>
      <c r="C94" t="s">
        <v>194</v>
      </c>
      <c r="D94" t="s">
        <v>75</v>
      </c>
      <c r="E94" s="46">
        <v>31708</v>
      </c>
      <c r="F94" s="46">
        <v>3302</v>
      </c>
    </row>
    <row r="95" spans="2:6">
      <c r="B95" t="s">
        <v>195</v>
      </c>
      <c r="C95" t="s">
        <v>97</v>
      </c>
      <c r="D95" t="s">
        <v>75</v>
      </c>
      <c r="E95" s="46">
        <v>28540</v>
      </c>
      <c r="F95" s="46">
        <v>2271</v>
      </c>
    </row>
    <row r="96" spans="2:6">
      <c r="B96" t="s">
        <v>196</v>
      </c>
      <c r="C96" t="s">
        <v>70</v>
      </c>
      <c r="D96" t="s">
        <v>75</v>
      </c>
      <c r="E96" s="46">
        <v>15592</v>
      </c>
      <c r="F96" s="46">
        <v>3444</v>
      </c>
    </row>
    <row r="97" spans="2:6">
      <c r="B97" t="s">
        <v>197</v>
      </c>
      <c r="C97" t="s">
        <v>66</v>
      </c>
      <c r="D97" t="s">
        <v>75</v>
      </c>
      <c r="E97" s="46">
        <v>67529</v>
      </c>
      <c r="F97" s="104">
        <v>6338</v>
      </c>
    </row>
    <row r="98" spans="2:6">
      <c r="B98" t="s">
        <v>198</v>
      </c>
      <c r="C98" t="s">
        <v>199</v>
      </c>
      <c r="D98" t="s">
        <v>75</v>
      </c>
      <c r="E98" s="46">
        <v>24984</v>
      </c>
      <c r="F98" s="46">
        <v>2301</v>
      </c>
    </row>
    <row r="99" spans="2:6">
      <c r="B99" t="s">
        <v>200</v>
      </c>
      <c r="C99" t="s">
        <v>94</v>
      </c>
      <c r="D99" t="s">
        <v>89</v>
      </c>
      <c r="E99" s="46">
        <v>84707</v>
      </c>
      <c r="F99" s="46">
        <v>2432</v>
      </c>
    </row>
    <row r="100" spans="2:6">
      <c r="B100" t="s">
        <v>201</v>
      </c>
      <c r="C100" t="s">
        <v>70</v>
      </c>
      <c r="D100" t="s">
        <v>75</v>
      </c>
      <c r="E100" s="46">
        <v>23455</v>
      </c>
      <c r="F100" s="46">
        <v>3693</v>
      </c>
    </row>
    <row r="101" spans="2:6">
      <c r="B101" t="s">
        <v>202</v>
      </c>
      <c r="C101" t="s">
        <v>186</v>
      </c>
      <c r="D101" t="s">
        <v>75</v>
      </c>
      <c r="E101" s="46">
        <v>246282</v>
      </c>
      <c r="F101" s="46">
        <v>8248</v>
      </c>
    </row>
    <row r="102" spans="2:6">
      <c r="B102" t="s">
        <v>203</v>
      </c>
      <c r="C102" t="s">
        <v>199</v>
      </c>
      <c r="D102" t="s">
        <v>75</v>
      </c>
      <c r="E102" s="46">
        <v>26255</v>
      </c>
      <c r="F102" s="46">
        <v>1024</v>
      </c>
    </row>
    <row r="103" spans="2:6">
      <c r="B103" t="s">
        <v>204</v>
      </c>
      <c r="C103" t="s">
        <v>70</v>
      </c>
      <c r="D103" t="s">
        <v>75</v>
      </c>
      <c r="E103" s="46">
        <v>19045</v>
      </c>
      <c r="F103" s="46">
        <v>3949</v>
      </c>
    </row>
    <row r="104" spans="2:6">
      <c r="B104" t="s">
        <v>205</v>
      </c>
      <c r="C104" t="s">
        <v>70</v>
      </c>
      <c r="D104" t="s">
        <v>75</v>
      </c>
      <c r="E104" s="46">
        <v>28879</v>
      </c>
      <c r="F104" s="46">
        <v>5823</v>
      </c>
    </row>
  </sheetData>
  <mergeCells count="1">
    <mergeCell ref="B2:F2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O60"/>
  <sheetViews>
    <sheetView showGridLines="0" zoomScale="85" zoomScaleNormal="85" workbookViewId="0">
      <selection activeCell="C2" sqref="C2:L2"/>
    </sheetView>
  </sheetViews>
  <sheetFormatPr defaultRowHeight="15.75"/>
  <cols>
    <col min="3" max="3" width="28.42578125" style="4" bestFit="1" customWidth="1"/>
    <col min="4" max="4" width="21.140625" style="4" customWidth="1"/>
    <col min="5" max="7" width="9.140625" style="4"/>
    <col min="8" max="8" width="11" style="4" customWidth="1"/>
    <col min="9" max="9" width="15.7109375" style="4" customWidth="1"/>
    <col min="10" max="10" width="19.42578125" style="4" bestFit="1" customWidth="1"/>
    <col min="11" max="11" width="28.28515625" style="4" bestFit="1" customWidth="1"/>
    <col min="12" max="12" width="12.28515625" style="4" customWidth="1"/>
    <col min="13" max="13" width="14.5703125" style="4" customWidth="1"/>
    <col min="14" max="14" width="12.140625" style="4" customWidth="1"/>
    <col min="15" max="15" width="12.85546875" style="4" customWidth="1"/>
  </cols>
  <sheetData>
    <row r="2" spans="2:12">
      <c r="C2" s="218" t="s">
        <v>26</v>
      </c>
      <c r="D2" s="219"/>
      <c r="E2" s="219"/>
      <c r="F2" s="219"/>
      <c r="G2" s="219"/>
      <c r="H2" s="219"/>
      <c r="I2" s="219"/>
      <c r="J2" s="219"/>
      <c r="K2" s="219"/>
      <c r="L2" s="220"/>
    </row>
    <row r="4" spans="2:12">
      <c r="C4" s="214" t="s">
        <v>29</v>
      </c>
      <c r="D4" s="215"/>
    </row>
    <row r="5" spans="2:12" ht="18.75">
      <c r="C5" s="38" t="s">
        <v>27</v>
      </c>
      <c r="D5" s="50" t="s">
        <v>28</v>
      </c>
      <c r="F5" s="216" t="s">
        <v>241</v>
      </c>
      <c r="G5" s="216"/>
      <c r="H5" s="216"/>
      <c r="I5" s="216"/>
      <c r="J5" s="216"/>
      <c r="K5" s="216"/>
      <c r="L5" s="216"/>
    </row>
    <row r="6" spans="2:12">
      <c r="C6" s="35">
        <v>10</v>
      </c>
      <c r="D6" s="40">
        <v>93</v>
      </c>
    </row>
    <row r="7" spans="2:12">
      <c r="C7" s="36">
        <v>15</v>
      </c>
      <c r="D7" s="41">
        <v>171</v>
      </c>
    </row>
    <row r="8" spans="2:12">
      <c r="C8" s="36">
        <v>20</v>
      </c>
      <c r="D8" s="41">
        <v>204</v>
      </c>
    </row>
    <row r="9" spans="2:12">
      <c r="C9" s="36">
        <v>20</v>
      </c>
      <c r="D9" s="41">
        <v>156</v>
      </c>
    </row>
    <row r="10" spans="2:12">
      <c r="C10" s="36">
        <v>35</v>
      </c>
      <c r="D10" s="41">
        <v>261</v>
      </c>
    </row>
    <row r="11" spans="2:12">
      <c r="B11" s="47" t="s">
        <v>31</v>
      </c>
      <c r="C11" s="48">
        <f>AVERAGE(C6:C10)</f>
        <v>20</v>
      </c>
      <c r="D11" s="6">
        <f>AVERAGE(D6:D10)</f>
        <v>177</v>
      </c>
    </row>
    <row r="14" spans="2:12">
      <c r="B14" s="62" t="s">
        <v>0</v>
      </c>
      <c r="C14" s="6">
        <v>5</v>
      </c>
    </row>
    <row r="15" spans="2:12">
      <c r="B15" s="5" t="s">
        <v>2</v>
      </c>
      <c r="C15" s="6">
        <v>0.05</v>
      </c>
    </row>
    <row r="16" spans="2:12">
      <c r="B16" s="62" t="s">
        <v>49</v>
      </c>
      <c r="C16" s="6">
        <f>C14-2</f>
        <v>3</v>
      </c>
    </row>
    <row r="19" spans="6:12" ht="18.75">
      <c r="F19" s="216" t="s">
        <v>240</v>
      </c>
      <c r="G19" s="216"/>
      <c r="H19" s="216"/>
      <c r="I19" s="216"/>
      <c r="J19" s="216"/>
      <c r="K19" s="216"/>
      <c r="L19" s="216"/>
    </row>
    <row r="21" spans="6:12">
      <c r="G21" s="54" t="s">
        <v>24</v>
      </c>
      <c r="H21" s="54" t="s">
        <v>25</v>
      </c>
      <c r="I21" s="54" t="s">
        <v>38</v>
      </c>
      <c r="J21" s="54" t="s">
        <v>39</v>
      </c>
      <c r="K21" s="54" t="s">
        <v>40</v>
      </c>
    </row>
    <row r="22" spans="6:12">
      <c r="G22" s="35">
        <v>10</v>
      </c>
      <c r="H22" s="35">
        <v>93</v>
      </c>
      <c r="I22" s="43">
        <f>(G22-$C$11)^2</f>
        <v>100</v>
      </c>
      <c r="J22" s="51">
        <f>(H22-$D$11)^2</f>
        <v>7056</v>
      </c>
      <c r="K22" s="43">
        <f>(C6-$C$11)*(D6-$D$11)</f>
        <v>840</v>
      </c>
    </row>
    <row r="23" spans="6:12">
      <c r="G23" s="36">
        <v>15</v>
      </c>
      <c r="H23" s="36">
        <v>171</v>
      </c>
      <c r="I23" s="44">
        <f t="shared" ref="I23:I26" si="0">(G23-$C$11)^2</f>
        <v>25</v>
      </c>
      <c r="J23" s="52">
        <f t="shared" ref="J23:J26" si="1">(H23-$D$11)^2</f>
        <v>36</v>
      </c>
      <c r="K23" s="44">
        <f t="shared" ref="K23:K26" si="2">(C7-$C$11)*(D7-$D$11)</f>
        <v>30</v>
      </c>
    </row>
    <row r="24" spans="6:12">
      <c r="G24" s="36">
        <v>20</v>
      </c>
      <c r="H24" s="36">
        <v>204</v>
      </c>
      <c r="I24" s="44">
        <f t="shared" si="0"/>
        <v>0</v>
      </c>
      <c r="J24" s="52">
        <f t="shared" si="1"/>
        <v>729</v>
      </c>
      <c r="K24" s="44">
        <f t="shared" si="2"/>
        <v>0</v>
      </c>
    </row>
    <row r="25" spans="6:12">
      <c r="G25" s="36">
        <v>20</v>
      </c>
      <c r="H25" s="36">
        <v>156</v>
      </c>
      <c r="I25" s="44">
        <f t="shared" si="0"/>
        <v>0</v>
      </c>
      <c r="J25" s="52">
        <f t="shared" si="1"/>
        <v>441</v>
      </c>
      <c r="K25" s="44">
        <f t="shared" si="2"/>
        <v>0</v>
      </c>
    </row>
    <row r="26" spans="6:12">
      <c r="G26" s="37">
        <v>35</v>
      </c>
      <c r="H26" s="37">
        <v>261</v>
      </c>
      <c r="I26" s="45">
        <f t="shared" si="0"/>
        <v>225</v>
      </c>
      <c r="J26" s="53">
        <f t="shared" si="1"/>
        <v>7056</v>
      </c>
      <c r="K26" s="45">
        <f t="shared" si="2"/>
        <v>1260</v>
      </c>
    </row>
    <row r="27" spans="6:12">
      <c r="G27" s="39"/>
      <c r="H27" s="39"/>
      <c r="I27" s="23"/>
      <c r="J27" s="23"/>
    </row>
    <row r="28" spans="6:12">
      <c r="G28" s="39"/>
      <c r="H28" s="39"/>
      <c r="I28" s="130" t="s">
        <v>35</v>
      </c>
      <c r="J28" s="34" t="s">
        <v>36</v>
      </c>
      <c r="K28" s="130" t="s">
        <v>37</v>
      </c>
    </row>
    <row r="29" spans="6:12">
      <c r="G29" s="214" t="s">
        <v>32</v>
      </c>
      <c r="H29" s="215"/>
      <c r="I29" s="6">
        <f>SUM(I22:I26)</f>
        <v>350</v>
      </c>
      <c r="J29" s="49">
        <f>SUM(J22:J26)</f>
        <v>15318</v>
      </c>
      <c r="K29" s="49">
        <f>SUM(K22:K26)</f>
        <v>2130</v>
      </c>
    </row>
    <row r="32" spans="6:12" ht="18.75">
      <c r="F32" s="140" t="s">
        <v>242</v>
      </c>
      <c r="G32" s="128"/>
      <c r="H32" s="128"/>
      <c r="I32" s="124"/>
      <c r="J32" s="125"/>
      <c r="K32" s="125"/>
    </row>
    <row r="33" spans="3:15">
      <c r="F33" s="123"/>
      <c r="I33" s="124"/>
      <c r="J33" s="125"/>
      <c r="K33" s="125"/>
    </row>
    <row r="34" spans="3:15">
      <c r="F34" s="123"/>
      <c r="G34" s="5" t="s">
        <v>245</v>
      </c>
      <c r="H34" s="243">
        <f>K29/I29</f>
        <v>6.0857142857142854</v>
      </c>
      <c r="I34" s="244"/>
      <c r="J34" s="125"/>
      <c r="K34" s="125"/>
    </row>
    <row r="35" spans="3:15">
      <c r="F35" s="123"/>
      <c r="G35" s="125"/>
      <c r="H35" s="125"/>
      <c r="I35" s="124"/>
      <c r="J35" s="125"/>
      <c r="K35" s="125"/>
    </row>
    <row r="36" spans="3:15">
      <c r="F36" s="123"/>
      <c r="G36" s="125"/>
      <c r="H36" s="125"/>
      <c r="I36" s="124"/>
      <c r="J36" s="125"/>
      <c r="K36" s="125"/>
    </row>
    <row r="37" spans="3:15">
      <c r="F37" s="123"/>
      <c r="G37" s="5" t="s">
        <v>244</v>
      </c>
      <c r="H37" s="243">
        <f>$D$11-$H$34*$C$11</f>
        <v>55.285714285714292</v>
      </c>
      <c r="I37" s="244"/>
      <c r="J37" s="125"/>
      <c r="K37" s="127"/>
    </row>
    <row r="38" spans="3:15" s="60" customFormat="1">
      <c r="C38" s="13"/>
      <c r="D38" s="13"/>
      <c r="E38" s="13"/>
      <c r="F38" s="125"/>
      <c r="G38" s="127"/>
      <c r="H38" s="127"/>
      <c r="I38" s="124"/>
      <c r="J38" s="125"/>
      <c r="K38" s="127"/>
      <c r="L38" s="13"/>
      <c r="M38" s="13"/>
      <c r="N38" s="13"/>
      <c r="O38" s="13"/>
    </row>
    <row r="39" spans="3:15">
      <c r="F39" s="123"/>
      <c r="G39" s="240"/>
      <c r="H39" s="240"/>
      <c r="I39" s="124"/>
      <c r="J39" s="125"/>
      <c r="K39" s="125"/>
    </row>
    <row r="40" spans="3:15" ht="18.75">
      <c r="F40" s="241" t="s">
        <v>250</v>
      </c>
      <c r="G40" s="241"/>
      <c r="H40" s="241"/>
      <c r="I40" s="241"/>
      <c r="J40" s="241"/>
      <c r="K40" s="241"/>
      <c r="L40" s="241"/>
      <c r="M40" s="241"/>
    </row>
    <row r="41" spans="3:15" ht="21">
      <c r="F41" s="126"/>
      <c r="G41" s="125"/>
      <c r="H41" s="125"/>
      <c r="I41" s="125"/>
      <c r="J41" s="125"/>
      <c r="K41" s="125"/>
    </row>
    <row r="42" spans="3:15" ht="27.75" customHeight="1">
      <c r="G42"/>
      <c r="H42" s="234" t="s">
        <v>27</v>
      </c>
      <c r="I42" s="234"/>
      <c r="J42" s="134" t="s">
        <v>28</v>
      </c>
      <c r="K42" s="138" t="s">
        <v>246</v>
      </c>
      <c r="L42" s="16"/>
      <c r="M42" s="16"/>
      <c r="N42" s="16"/>
      <c r="O42" s="16"/>
    </row>
    <row r="43" spans="3:15">
      <c r="G43"/>
      <c r="H43" s="235">
        <v>10</v>
      </c>
      <c r="I43" s="236"/>
      <c r="J43" s="40">
        <v>93</v>
      </c>
      <c r="K43" s="131">
        <f>$H$37+H43*$H$34</f>
        <v>116.14285714285714</v>
      </c>
      <c r="L43" s="135">
        <f>J43-K43</f>
        <v>-23.142857142857139</v>
      </c>
      <c r="M43" s="135">
        <f>L43^2</f>
        <v>535.59183673469374</v>
      </c>
      <c r="N43" s="131">
        <f>(K43-$D$11)^2</f>
        <v>3703.5918367346944</v>
      </c>
      <c r="O43" s="43">
        <f>(J43-$D$11)^2</f>
        <v>7056</v>
      </c>
    </row>
    <row r="44" spans="3:15">
      <c r="G44"/>
      <c r="H44" s="237">
        <v>15</v>
      </c>
      <c r="I44" s="238"/>
      <c r="J44" s="41">
        <v>171</v>
      </c>
      <c r="K44" s="132">
        <f t="shared" ref="K44:K47" si="3">$H$37+H44*$H$34</f>
        <v>146.57142857142856</v>
      </c>
      <c r="L44" s="136">
        <f t="shared" ref="L44:L47" si="4">J44-K44</f>
        <v>24.428571428571445</v>
      </c>
      <c r="M44" s="136">
        <f t="shared" ref="M44:M47" si="5">L44^2</f>
        <v>596.75510204081706</v>
      </c>
      <c r="N44" s="132">
        <f t="shared" ref="N44:N47" si="6">(K44-$D$11)^2</f>
        <v>925.8979591836744</v>
      </c>
      <c r="O44" s="44">
        <f t="shared" ref="O44:O47" si="7">(J44-$D$11)^2</f>
        <v>36</v>
      </c>
    </row>
    <row r="45" spans="3:15">
      <c r="G45"/>
      <c r="H45" s="237">
        <v>20</v>
      </c>
      <c r="I45" s="238"/>
      <c r="J45" s="41">
        <v>204</v>
      </c>
      <c r="K45" s="132">
        <f t="shared" si="3"/>
        <v>177</v>
      </c>
      <c r="L45" s="136">
        <f t="shared" si="4"/>
        <v>27</v>
      </c>
      <c r="M45" s="136">
        <f t="shared" si="5"/>
        <v>729</v>
      </c>
      <c r="N45" s="139">
        <f t="shared" si="6"/>
        <v>0</v>
      </c>
      <c r="O45" s="44">
        <f t="shared" si="7"/>
        <v>729</v>
      </c>
    </row>
    <row r="46" spans="3:15">
      <c r="G46"/>
      <c r="H46" s="237">
        <v>20</v>
      </c>
      <c r="I46" s="238"/>
      <c r="J46" s="41">
        <v>156</v>
      </c>
      <c r="K46" s="132">
        <f t="shared" si="3"/>
        <v>177</v>
      </c>
      <c r="L46" s="136">
        <f t="shared" si="4"/>
        <v>-21</v>
      </c>
      <c r="M46" s="136">
        <f t="shared" si="5"/>
        <v>441</v>
      </c>
      <c r="N46" s="139">
        <f t="shared" si="6"/>
        <v>0</v>
      </c>
      <c r="O46" s="44">
        <f t="shared" si="7"/>
        <v>441</v>
      </c>
    </row>
    <row r="47" spans="3:15">
      <c r="G47"/>
      <c r="H47" s="231">
        <v>35</v>
      </c>
      <c r="I47" s="232"/>
      <c r="J47" s="42">
        <v>261</v>
      </c>
      <c r="K47" s="133">
        <f t="shared" si="3"/>
        <v>268.28571428571428</v>
      </c>
      <c r="L47" s="137">
        <f t="shared" si="4"/>
        <v>-7.2857142857142776</v>
      </c>
      <c r="M47" s="137">
        <f t="shared" si="5"/>
        <v>53.081632653061106</v>
      </c>
      <c r="N47" s="133">
        <f t="shared" si="6"/>
        <v>8333.0816326530603</v>
      </c>
      <c r="O47" s="45">
        <f t="shared" si="7"/>
        <v>7056</v>
      </c>
    </row>
    <row r="48" spans="3:15">
      <c r="G48"/>
      <c r="H48" s="39"/>
      <c r="I48" s="39"/>
      <c r="J48" s="39"/>
      <c r="K48" s="24"/>
      <c r="L48" s="24"/>
      <c r="M48" s="24"/>
      <c r="N48" s="24"/>
      <c r="O48" s="122"/>
    </row>
    <row r="49" spans="6:15">
      <c r="G49"/>
      <c r="H49" s="39"/>
      <c r="I49" s="39"/>
      <c r="J49" s="39"/>
      <c r="K49" s="24"/>
      <c r="L49" s="24"/>
      <c r="M49" s="24"/>
      <c r="N49" s="24"/>
      <c r="O49" s="122"/>
    </row>
    <row r="50" spans="6:15">
      <c r="G50"/>
      <c r="H50" s="39"/>
      <c r="I50" s="39"/>
      <c r="J50" s="39"/>
      <c r="K50" s="24"/>
      <c r="L50" s="24"/>
      <c r="M50" s="24"/>
      <c r="N50" s="24"/>
      <c r="O50" s="122"/>
    </row>
    <row r="51" spans="6:15">
      <c r="G51" s="1"/>
      <c r="H51" s="233"/>
      <c r="I51" s="233"/>
      <c r="J51" s="23"/>
      <c r="K51" s="13"/>
    </row>
    <row r="52" spans="6:15">
      <c r="J52" s="39"/>
      <c r="L52" s="39"/>
      <c r="M52" s="130" t="s">
        <v>247</v>
      </c>
      <c r="N52" s="34" t="s">
        <v>249</v>
      </c>
      <c r="O52" s="130" t="s">
        <v>248</v>
      </c>
    </row>
    <row r="53" spans="6:15">
      <c r="L53" s="33" t="s">
        <v>32</v>
      </c>
      <c r="M53" s="7">
        <f>SUM(M43:M47)</f>
        <v>2355.428571428572</v>
      </c>
      <c r="N53" s="49">
        <f>SUM(N43:N47)</f>
        <v>12962.571428571429</v>
      </c>
      <c r="O53" s="49">
        <f>SUM(O43:O47)</f>
        <v>15318</v>
      </c>
    </row>
    <row r="54" spans="6:15" ht="18.75">
      <c r="F54" s="241" t="s">
        <v>251</v>
      </c>
      <c r="G54" s="241"/>
      <c r="H54" s="241"/>
      <c r="I54" s="241"/>
      <c r="J54" s="241"/>
      <c r="K54" s="241"/>
      <c r="L54" s="241"/>
      <c r="M54" s="241"/>
    </row>
    <row r="57" spans="6:15">
      <c r="F57" s="123"/>
      <c r="G57" s="57" t="s">
        <v>252</v>
      </c>
      <c r="H57" s="239">
        <f>1-(M53/O53)</f>
        <v>0.84623132449219396</v>
      </c>
      <c r="I57" s="239"/>
      <c r="J57" s="240"/>
      <c r="K57" s="240"/>
    </row>
    <row r="58" spans="6:15">
      <c r="F58" s="123"/>
      <c r="H58" s="242" t="s">
        <v>253</v>
      </c>
      <c r="I58" s="242"/>
      <c r="J58" s="125"/>
      <c r="K58" s="125"/>
    </row>
    <row r="59" spans="6:15">
      <c r="F59" s="123"/>
      <c r="G59" s="57" t="s">
        <v>252</v>
      </c>
      <c r="H59" s="239">
        <f>N53/O53</f>
        <v>0.84623132449219407</v>
      </c>
      <c r="I59" s="239"/>
      <c r="J59" s="240"/>
      <c r="K59" s="240"/>
    </row>
    <row r="60" spans="6:15">
      <c r="F60" s="123"/>
      <c r="G60" s="127"/>
      <c r="H60" s="127"/>
      <c r="I60" s="127"/>
      <c r="J60" s="125"/>
      <c r="K60" s="125"/>
    </row>
  </sheetData>
  <mergeCells count="22">
    <mergeCell ref="H34:I34"/>
    <mergeCell ref="H37:I37"/>
    <mergeCell ref="F40:M40"/>
    <mergeCell ref="C2:L2"/>
    <mergeCell ref="C4:D4"/>
    <mergeCell ref="F5:L5"/>
    <mergeCell ref="F19:L19"/>
    <mergeCell ref="G29:H29"/>
    <mergeCell ref="G39:H39"/>
    <mergeCell ref="H57:I57"/>
    <mergeCell ref="J57:K57"/>
    <mergeCell ref="H59:I59"/>
    <mergeCell ref="J59:K59"/>
    <mergeCell ref="F54:M54"/>
    <mergeCell ref="H58:I58"/>
    <mergeCell ref="H47:I47"/>
    <mergeCell ref="H51:I51"/>
    <mergeCell ref="H42:I42"/>
    <mergeCell ref="H43:I43"/>
    <mergeCell ref="H44:I44"/>
    <mergeCell ref="H45:I45"/>
    <mergeCell ref="H46:I46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M43"/>
  <sheetViews>
    <sheetView showGridLines="0" zoomScaleNormal="100" workbookViewId="0">
      <selection activeCell="B2" sqref="B2:M2"/>
    </sheetView>
  </sheetViews>
  <sheetFormatPr defaultRowHeight="15"/>
  <cols>
    <col min="3" max="3" width="10.140625" customWidth="1"/>
    <col min="4" max="4" width="11.7109375" bestFit="1" customWidth="1"/>
    <col min="8" max="8" width="9.85546875" customWidth="1"/>
    <col min="9" max="9" width="15.5703125" customWidth="1"/>
    <col min="10" max="10" width="11.140625" customWidth="1"/>
  </cols>
  <sheetData>
    <row r="2" spans="2:13" ht="15.75">
      <c r="B2" s="245" t="s">
        <v>319</v>
      </c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</row>
    <row r="6" spans="2:13">
      <c r="I6" s="151" t="s">
        <v>308</v>
      </c>
      <c r="J6" s="248" t="s">
        <v>255</v>
      </c>
      <c r="K6" s="248"/>
      <c r="L6" s="248"/>
    </row>
    <row r="8" spans="2:13">
      <c r="I8" s="151" t="s">
        <v>257</v>
      </c>
      <c r="J8" s="248" t="s">
        <v>256</v>
      </c>
      <c r="K8" s="248"/>
      <c r="L8" s="248"/>
      <c r="M8" s="248"/>
    </row>
    <row r="10" spans="2:13">
      <c r="B10" s="3" t="s">
        <v>258</v>
      </c>
      <c r="C10" s="3"/>
    </row>
    <row r="12" spans="2:13">
      <c r="B12" s="3" t="s">
        <v>259</v>
      </c>
    </row>
    <row r="13" spans="2:13">
      <c r="C13" s="148" t="s">
        <v>260</v>
      </c>
      <c r="D13" s="47">
        <v>7.6425999999999998</v>
      </c>
      <c r="F13" s="148" t="s">
        <v>267</v>
      </c>
      <c r="G13" s="47">
        <v>10.0403</v>
      </c>
    </row>
    <row r="14" spans="2:13">
      <c r="C14" s="148" t="s">
        <v>261</v>
      </c>
      <c r="D14" s="47">
        <v>0.94669999999999999</v>
      </c>
      <c r="F14" s="148" t="s">
        <v>268</v>
      </c>
      <c r="G14" s="47">
        <v>9.3600000000000003E-2</v>
      </c>
    </row>
    <row r="16" spans="2:13">
      <c r="C16" s="150" t="s">
        <v>262</v>
      </c>
      <c r="D16" s="147" t="s">
        <v>263</v>
      </c>
    </row>
    <row r="17" spans="2:11" ht="15.75">
      <c r="C17" s="146" t="s">
        <v>0</v>
      </c>
      <c r="D17" s="6">
        <v>16</v>
      </c>
      <c r="G17" s="4" t="s">
        <v>266</v>
      </c>
      <c r="H17" s="4"/>
      <c r="I17" s="4"/>
      <c r="J17" s="4"/>
      <c r="K17" s="4"/>
    </row>
    <row r="18" spans="2:11" ht="15.75">
      <c r="C18" s="146" t="s">
        <v>2</v>
      </c>
      <c r="D18" s="6">
        <v>0.05</v>
      </c>
      <c r="G18" s="4"/>
      <c r="J18" s="4"/>
      <c r="K18" s="4"/>
    </row>
    <row r="19" spans="2:11" ht="15.75">
      <c r="C19" s="146" t="s">
        <v>3</v>
      </c>
      <c r="D19" s="6">
        <f>D17-2</f>
        <v>14</v>
      </c>
      <c r="G19" s="4"/>
      <c r="H19" s="6" t="s">
        <v>43</v>
      </c>
      <c r="I19" s="7" t="s">
        <v>265</v>
      </c>
      <c r="J19" s="4"/>
      <c r="K19" s="4"/>
    </row>
    <row r="20" spans="2:11" ht="15.75">
      <c r="C20" s="168"/>
      <c r="D20" s="60"/>
      <c r="H20" s="6" t="s">
        <v>43</v>
      </c>
      <c r="I20" s="7">
        <f>TINV(D18,D19)</f>
        <v>2.1447866812820848</v>
      </c>
    </row>
    <row r="22" spans="2:11">
      <c r="G22" t="s">
        <v>269</v>
      </c>
    </row>
    <row r="26" spans="2:11">
      <c r="H26" s="148" t="s">
        <v>270</v>
      </c>
      <c r="I26" s="149">
        <f>$D$14-$I$20*$G$14</f>
        <v>0.74594796663199681</v>
      </c>
      <c r="J26" s="149">
        <f>$D$14+$I$20*$G$14</f>
        <v>1.1474520333680032</v>
      </c>
    </row>
    <row r="28" spans="2:11">
      <c r="B28" s="3" t="s">
        <v>271</v>
      </c>
      <c r="C28" s="246" t="s">
        <v>272</v>
      </c>
      <c r="D28" s="247"/>
      <c r="E28" s="152" t="s">
        <v>273</v>
      </c>
    </row>
    <row r="29" spans="2:11">
      <c r="E29" s="152" t="s">
        <v>274</v>
      </c>
    </row>
    <row r="31" spans="2:11">
      <c r="C31" t="s">
        <v>275</v>
      </c>
    </row>
    <row r="33" spans="2:8">
      <c r="E33" s="151" t="s">
        <v>264</v>
      </c>
      <c r="F33" s="176">
        <f>D14/G14</f>
        <v>10.114316239316238</v>
      </c>
    </row>
    <row r="35" spans="2:8" ht="15.75">
      <c r="E35" s="151" t="s">
        <v>307</v>
      </c>
      <c r="F35" s="176">
        <f>TINV(2*D18,D19)</f>
        <v>1.7613101150619617</v>
      </c>
    </row>
    <row r="37" spans="2:8">
      <c r="E37" s="150" t="s">
        <v>276</v>
      </c>
      <c r="F37" s="248" t="str">
        <f>IF(F33&gt;F35,"Rejeita H0", "Não Rejeita H0")</f>
        <v>Rejeita H0</v>
      </c>
      <c r="G37" s="248"/>
    </row>
    <row r="39" spans="2:8">
      <c r="B39" s="3" t="s">
        <v>277</v>
      </c>
      <c r="C39" s="3" t="s">
        <v>278</v>
      </c>
      <c r="D39" s="3"/>
      <c r="E39" s="3"/>
      <c r="F39" s="3"/>
      <c r="G39" s="3"/>
      <c r="H39" s="3"/>
    </row>
    <row r="41" spans="2:8">
      <c r="C41" s="151" t="s">
        <v>12</v>
      </c>
      <c r="D41" s="177">
        <f>TDIST(F33,D19,1)</f>
        <v>4.0565390564231402E-8</v>
      </c>
      <c r="E41" s="46"/>
    </row>
    <row r="42" spans="2:8">
      <c r="C42" s="46"/>
      <c r="D42" s="46"/>
      <c r="E42" s="46"/>
    </row>
    <row r="43" spans="2:8">
      <c r="C43" s="151" t="s">
        <v>276</v>
      </c>
      <c r="D43" s="248" t="str">
        <f>IF(D41&lt;0.05,"Rejeita H0", "Não Rejeita H0")</f>
        <v>Rejeita H0</v>
      </c>
      <c r="E43" s="248"/>
    </row>
  </sheetData>
  <mergeCells count="6">
    <mergeCell ref="B2:M2"/>
    <mergeCell ref="C28:D28"/>
    <mergeCell ref="F37:G37"/>
    <mergeCell ref="D43:E43"/>
    <mergeCell ref="J6:L6"/>
    <mergeCell ref="J8:M8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2:R30"/>
  <sheetViews>
    <sheetView showGridLines="0" workbookViewId="0">
      <selection activeCell="B2" sqref="B2:Q2"/>
    </sheetView>
  </sheetViews>
  <sheetFormatPr defaultRowHeight="15"/>
  <cols>
    <col min="2" max="2" width="13.5703125" bestFit="1" customWidth="1"/>
    <col min="3" max="3" width="12.140625" bestFit="1" customWidth="1"/>
    <col min="4" max="4" width="15.85546875" bestFit="1" customWidth="1"/>
    <col min="5" max="5" width="12.5703125" bestFit="1" customWidth="1"/>
    <col min="6" max="6" width="7.7109375" bestFit="1" customWidth="1"/>
    <col min="7" max="7" width="12" bestFit="1" customWidth="1"/>
    <col min="8" max="8" width="10" customWidth="1"/>
    <col min="11" max="11" width="14.5703125" bestFit="1" customWidth="1"/>
  </cols>
  <sheetData>
    <row r="2" spans="2:17" s="4" customFormat="1" ht="15.75">
      <c r="B2" s="218" t="s">
        <v>287</v>
      </c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20"/>
    </row>
    <row r="4" spans="2:17">
      <c r="J4" t="s">
        <v>285</v>
      </c>
    </row>
    <row r="5" spans="2:17">
      <c r="B5" s="151" t="s">
        <v>288</v>
      </c>
      <c r="C5" s="149">
        <v>0.2</v>
      </c>
    </row>
    <row r="6" spans="2:17">
      <c r="B6" s="151" t="s">
        <v>289</v>
      </c>
      <c r="C6" s="149">
        <v>26.128</v>
      </c>
      <c r="J6" s="250" t="s">
        <v>284</v>
      </c>
      <c r="K6" s="250"/>
      <c r="L6" s="250"/>
      <c r="M6" s="250"/>
    </row>
    <row r="7" spans="2:17">
      <c r="B7" s="151" t="s">
        <v>0</v>
      </c>
      <c r="C7" s="165">
        <v>20</v>
      </c>
    </row>
    <row r="8" spans="2:17">
      <c r="B8" s="151" t="s">
        <v>298</v>
      </c>
      <c r="C8" s="166">
        <v>0.05</v>
      </c>
    </row>
    <row r="9" spans="2:17">
      <c r="C9" s="97"/>
      <c r="J9" t="s">
        <v>286</v>
      </c>
    </row>
    <row r="10" spans="2:17">
      <c r="B10" s="251" t="s">
        <v>299</v>
      </c>
      <c r="C10" s="251"/>
      <c r="D10" s="251"/>
      <c r="E10" s="251"/>
      <c r="F10" s="251"/>
      <c r="G10" s="251"/>
    </row>
    <row r="11" spans="2:17">
      <c r="B11" s="157" t="s">
        <v>294</v>
      </c>
      <c r="C11" s="157" t="s">
        <v>295</v>
      </c>
      <c r="D11" s="157" t="s">
        <v>296</v>
      </c>
      <c r="E11" s="157" t="s">
        <v>297</v>
      </c>
      <c r="F11" s="157" t="s">
        <v>290</v>
      </c>
      <c r="G11" s="157" t="s">
        <v>12</v>
      </c>
      <c r="K11" s="180" t="s">
        <v>317</v>
      </c>
    </row>
    <row r="12" spans="2:17">
      <c r="B12" s="158" t="s">
        <v>291</v>
      </c>
      <c r="C12" s="158">
        <v>3080.89</v>
      </c>
      <c r="D12" s="158">
        <f>1</f>
        <v>1</v>
      </c>
      <c r="E12" s="164">
        <f>C12/D12</f>
        <v>3080.89</v>
      </c>
      <c r="F12" s="167">
        <f>E12/E13</f>
        <v>4.5129086098902125</v>
      </c>
      <c r="G12" s="158">
        <f>FDIST(F12,D12,D13)</f>
        <v>4.7751097511465973E-2</v>
      </c>
    </row>
    <row r="13" spans="2:17">
      <c r="B13" s="1" t="s">
        <v>292</v>
      </c>
      <c r="C13" s="1">
        <v>12288.31</v>
      </c>
      <c r="D13" s="163">
        <f>C7-2</f>
        <v>18</v>
      </c>
      <c r="E13" s="162">
        <f>C13/D13</f>
        <v>682.68388888888887</v>
      </c>
      <c r="F13" s="1"/>
      <c r="G13" s="1"/>
      <c r="J13" s="3" t="s">
        <v>311</v>
      </c>
    </row>
    <row r="14" spans="2:17">
      <c r="B14" s="160" t="s">
        <v>293</v>
      </c>
      <c r="C14" s="160">
        <f>SUM(C12:C13)</f>
        <v>15369.199999999999</v>
      </c>
      <c r="D14" s="160">
        <f>SUM(D12:D13)</f>
        <v>19</v>
      </c>
      <c r="E14" s="160"/>
      <c r="F14" s="160"/>
      <c r="G14" s="160"/>
    </row>
    <row r="15" spans="2:17">
      <c r="B15" s="1"/>
      <c r="C15" s="1"/>
      <c r="D15" s="1"/>
      <c r="E15" s="1"/>
      <c r="F15" s="1"/>
      <c r="G15" s="1"/>
      <c r="K15" s="180" t="s">
        <v>310</v>
      </c>
    </row>
    <row r="16" spans="2:17">
      <c r="B16" s="253" t="s">
        <v>300</v>
      </c>
      <c r="C16" s="253"/>
      <c r="D16" s="253"/>
      <c r="E16" s="253"/>
      <c r="F16" s="253"/>
      <c r="G16" s="253"/>
      <c r="H16" s="253"/>
    </row>
    <row r="17" spans="2:18">
      <c r="B17" s="172"/>
      <c r="C17" s="172"/>
      <c r="D17" s="172"/>
      <c r="E17" s="172"/>
      <c r="F17" s="172"/>
      <c r="G17" s="252" t="s">
        <v>305</v>
      </c>
      <c r="H17" s="252"/>
      <c r="J17" s="3" t="s">
        <v>312</v>
      </c>
    </row>
    <row r="18" spans="2:18">
      <c r="B18" s="171" t="s">
        <v>301</v>
      </c>
      <c r="C18" s="157" t="s">
        <v>206</v>
      </c>
      <c r="D18" s="169" t="s">
        <v>309</v>
      </c>
      <c r="E18" s="157" t="s">
        <v>306</v>
      </c>
      <c r="F18" s="157" t="s">
        <v>12</v>
      </c>
      <c r="G18" s="157" t="s">
        <v>304</v>
      </c>
      <c r="H18" s="157" t="s">
        <v>303</v>
      </c>
    </row>
    <row r="19" spans="2:18">
      <c r="B19" s="170" t="s">
        <v>229</v>
      </c>
      <c r="C19" s="1">
        <v>614.92999999999995</v>
      </c>
      <c r="D19" s="1">
        <v>51.234299999999998</v>
      </c>
      <c r="E19" s="161">
        <f>C19/D19</f>
        <v>12.002310951842809</v>
      </c>
      <c r="F19" s="159">
        <f>TDIST(ABS(E19),C7-2,2)</f>
        <v>5.0308906965899506E-10</v>
      </c>
      <c r="G19" s="159">
        <v>507.29</v>
      </c>
      <c r="H19" s="159">
        <v>722.56</v>
      </c>
      <c r="K19" s="180" t="s">
        <v>310</v>
      </c>
    </row>
    <row r="20" spans="2:18">
      <c r="B20" s="173" t="s">
        <v>302</v>
      </c>
      <c r="C20" s="160">
        <v>-109.11199999999999</v>
      </c>
      <c r="D20" s="160">
        <v>51.362299999999998</v>
      </c>
      <c r="E20" s="175">
        <f>C20/D20</f>
        <v>-2.1243596957301367</v>
      </c>
      <c r="F20" s="174">
        <f>TDIST(ABS(E20),C7-2,2)</f>
        <v>4.7751196864924655E-2</v>
      </c>
      <c r="G20" s="174">
        <v>-217.02</v>
      </c>
      <c r="H20" s="174">
        <v>-1.2038</v>
      </c>
    </row>
    <row r="21" spans="2:18">
      <c r="B21" s="179"/>
      <c r="C21" s="179"/>
      <c r="D21" s="179"/>
      <c r="E21" s="179"/>
      <c r="F21" s="179"/>
      <c r="G21" s="179"/>
      <c r="H21" s="179"/>
      <c r="J21" s="3" t="s">
        <v>313</v>
      </c>
    </row>
    <row r="22" spans="2:18">
      <c r="J22" s="3"/>
      <c r="K22" s="150" t="s">
        <v>315</v>
      </c>
      <c r="L22" s="181">
        <f>E20</f>
        <v>-2.1243596957301367</v>
      </c>
    </row>
    <row r="23" spans="2:18">
      <c r="J23" s="3"/>
      <c r="K23" s="150" t="s">
        <v>316</v>
      </c>
      <c r="L23" s="181">
        <f>L22^2</f>
        <v>4.5129041168426394</v>
      </c>
    </row>
    <row r="24" spans="2:18">
      <c r="J24" s="3"/>
      <c r="L24" s="156"/>
    </row>
    <row r="25" spans="2:18">
      <c r="J25" s="3"/>
      <c r="K25" s="150" t="s">
        <v>314</v>
      </c>
      <c r="L25" s="149">
        <f>F12</f>
        <v>4.5129086098902125</v>
      </c>
    </row>
    <row r="26" spans="2:18">
      <c r="J26" s="3"/>
    </row>
    <row r="27" spans="2:18">
      <c r="J27" s="3"/>
    </row>
    <row r="28" spans="2:18" ht="15" customHeight="1">
      <c r="J28" s="249" t="s">
        <v>318</v>
      </c>
      <c r="K28" s="249"/>
      <c r="L28" s="249"/>
      <c r="M28" s="249"/>
      <c r="N28" s="249"/>
      <c r="O28" s="249"/>
      <c r="P28" s="249"/>
      <c r="Q28" s="249"/>
      <c r="R28" s="249"/>
    </row>
    <row r="29" spans="2:18">
      <c r="J29" s="249"/>
      <c r="K29" s="249"/>
      <c r="L29" s="249"/>
      <c r="M29" s="249"/>
      <c r="N29" s="249"/>
      <c r="O29" s="249"/>
      <c r="P29" s="249"/>
      <c r="Q29" s="249"/>
      <c r="R29" s="249"/>
    </row>
    <row r="30" spans="2:18">
      <c r="J30" s="249"/>
      <c r="K30" s="249"/>
      <c r="L30" s="249"/>
      <c r="M30" s="249"/>
      <c r="N30" s="249"/>
      <c r="O30" s="249"/>
      <c r="P30" s="249"/>
      <c r="Q30" s="249"/>
      <c r="R30" s="249"/>
    </row>
  </sheetData>
  <mergeCells count="6">
    <mergeCell ref="J28:R30"/>
    <mergeCell ref="J6:M6"/>
    <mergeCell ref="B2:Q2"/>
    <mergeCell ref="B10:G10"/>
    <mergeCell ref="G17:H17"/>
    <mergeCell ref="B16:H16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Ex_01_a</vt:lpstr>
      <vt:lpstr>Ex_01_b</vt:lpstr>
      <vt:lpstr>Ex02</vt:lpstr>
      <vt:lpstr>Ex03</vt:lpstr>
      <vt:lpstr>Ex04_Cheyenne</vt:lpstr>
      <vt:lpstr>Ex05_Ex12.10</vt:lpstr>
      <vt:lpstr>Ex06_EX12.16</vt:lpstr>
      <vt:lpstr>Ex07_EX12.22</vt:lpstr>
      <vt:lpstr>Ex08_EX12.24</vt:lpstr>
      <vt:lpstr>Ex10_Minicaso</vt:lpstr>
      <vt:lpstr>EX10_Excel</vt:lpstr>
      <vt:lpstr>EX12_KW_Action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Eder Lucio</dc:creator>
  <cp:lastModifiedBy>Eder Lucio</cp:lastModifiedBy>
  <dcterms:created xsi:type="dcterms:W3CDTF">2011-05-30T16:08:28Z</dcterms:created>
  <dcterms:modified xsi:type="dcterms:W3CDTF">2011-06-27T20:00:39Z</dcterms:modified>
</cp:coreProperties>
</file>