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5"/>
  </bookViews>
  <sheets>
    <sheet name="计算器" sheetId="1" r:id="rId1"/>
    <sheet name="对照组" sheetId="2" r:id="rId2"/>
    <sheet name="辅助表格请勿删除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<sst xmlns="http://schemas.openxmlformats.org/spreadsheetml/2006/main" count="379" uniqueCount="125">
  <si>
    <t>武器物理面板</t>
  </si>
  <si>
    <t>武器属性面板</t>
  </si>
  <si>
    <t>武器会心率</t>
  </si>
  <si>
    <t>负会心率</t>
  </si>
  <si>
    <t>物理技能</t>
  </si>
  <si>
    <t>属性技能</t>
  </si>
  <si>
    <t>会心技能</t>
  </si>
  <si>
    <t>弹种强化</t>
  </si>
  <si>
    <t>其他技能</t>
  </si>
  <si>
    <t>攻击</t>
  </si>
  <si>
    <t>属性强化</t>
  </si>
  <si>
    <t>挑战者</t>
  </si>
  <si>
    <t>通常弹•通常箭强化</t>
  </si>
  <si>
    <t>属性变换</t>
  </si>
  <si>
    <t>逆袭</t>
  </si>
  <si>
    <t>属性会心击</t>
  </si>
  <si>
    <t>看破</t>
  </si>
  <si>
    <t>贯通弹•龙之箭强化</t>
  </si>
  <si>
    <t>无伤</t>
  </si>
  <si>
    <t>蓄力大师</t>
  </si>
  <si>
    <t>弱点特效</t>
  </si>
  <si>
    <t>散弹•刚射强化</t>
  </si>
  <si>
    <t>龙属性武器属性变换触发伤害</t>
  </si>
  <si>
    <t>怨恨</t>
  </si>
  <si>
    <t>连击</t>
  </si>
  <si>
    <t>力量解放</t>
  </si>
  <si>
    <t>特殊射击强化</t>
  </si>
  <si>
    <t>动作</t>
  </si>
  <si>
    <t>箭矢数
hit数</t>
  </si>
  <si>
    <t>龙属伤
（无会心）</t>
  </si>
  <si>
    <t>龙属伤
（会心）</t>
  </si>
  <si>
    <t>单hit伤
（无会心）</t>
  </si>
  <si>
    <t>单hit伤
（会心）</t>
  </si>
  <si>
    <t>总hit伤
（无会心）</t>
  </si>
  <si>
    <t>总hit伤
（会心）</t>
  </si>
  <si>
    <t>巧击</t>
  </si>
  <si>
    <t>因祸得福</t>
  </si>
  <si>
    <t>无我之境</t>
  </si>
  <si>
    <t>平射Lv1</t>
  </si>
  <si>
    <t>急袭</t>
  </si>
  <si>
    <t>属性吸收</t>
  </si>
  <si>
    <t>套装技能</t>
  </si>
  <si>
    <t>衣装</t>
  </si>
  <si>
    <t>平射Lv2</t>
  </si>
  <si>
    <t>超会心</t>
  </si>
  <si>
    <t>黑蚀龙套</t>
  </si>
  <si>
    <t>狂龙衣服</t>
  </si>
  <si>
    <t>平射Lv3</t>
  </si>
  <si>
    <t>人火</t>
  </si>
  <si>
    <t>冻峰龙套</t>
  </si>
  <si>
    <t>回避衣</t>
  </si>
  <si>
    <t>刚射Lv1</t>
  </si>
  <si>
    <t>猫火</t>
  </si>
  <si>
    <t>刚射Lv2</t>
  </si>
  <si>
    <t>猫饭+攻击力</t>
  </si>
  <si>
    <t>使用瓶</t>
  </si>
  <si>
    <t>刚射Lv3</t>
  </si>
  <si>
    <t>鬼人药G</t>
  </si>
  <si>
    <t>接击瓶</t>
  </si>
  <si>
    <t>刚连射Lv1</t>
  </si>
  <si>
    <t>鬼人粉尘</t>
  </si>
  <si>
    <t>贯通瓶</t>
  </si>
  <si>
    <t>刚连射Lv2</t>
  </si>
  <si>
    <t>鬼人种子</t>
  </si>
  <si>
    <t>强击瓶</t>
  </si>
  <si>
    <t>刚连射Lv3</t>
  </si>
  <si>
    <t>鬼人药丸</t>
  </si>
  <si>
    <t>龙之千矢</t>
  </si>
  <si>
    <t>力量之护符</t>
  </si>
  <si>
    <t>引导箭龙之千矢</t>
  </si>
  <si>
    <t>引导箭平射Lv1、Lv2、Lv3</t>
  </si>
  <si>
    <t>怪物肉质</t>
  </si>
  <si>
    <t>物理吸收</t>
  </si>
  <si>
    <t>龙属性武器</t>
  </si>
  <si>
    <t>引导箭刚射Lv1、Lv2、Lv3</t>
  </si>
  <si>
    <t>（属变触发时的属性值）</t>
  </si>
  <si>
    <t>引导箭刚连射Lv1、Lv2、Lv3</t>
  </si>
  <si>
    <t>龙之一箭</t>
  </si>
  <si>
    <t>最终面板物理</t>
  </si>
  <si>
    <t>最终面板属性</t>
  </si>
  <si>
    <t>最终会心率</t>
  </si>
  <si>
    <t>龙之一箭刹那</t>
  </si>
  <si>
    <t>狂龙病克服</t>
  </si>
  <si>
    <t>注意游戏面板属性看似很高，其实是多乘了个10的系数，相对上一作来说荒野10点属性面板=1点属性值</t>
  </si>
  <si>
    <t>狂龙病感染</t>
  </si>
  <si>
    <t>以下计算表均使用狂龙病克服后的数据进行计算</t>
  </si>
  <si>
    <t>接击瓶/强击瓶伤害表</t>
  </si>
  <si>
    <t>贯通瓶伤害表</t>
  </si>
  <si>
    <t>乘贯通衰减系数后</t>
  </si>
  <si>
    <t>物伤
(无会心)</t>
  </si>
  <si>
    <t>物伤
（会心）</t>
  </si>
  <si>
    <t>属伤
（无会心）</t>
  </si>
  <si>
    <t>属伤
（会心）</t>
  </si>
  <si>
    <t>最高单hit伤
（无会心）</t>
  </si>
  <si>
    <t>最高单hit伤
（会心）</t>
  </si>
  <si>
    <t>贯通瓶平射Lv1</t>
  </si>
  <si>
    <t>贯通瓶平射Lv2</t>
  </si>
  <si>
    <t>贯通瓶平射Lv3</t>
  </si>
  <si>
    <t>接击瓶/强击瓶最终伤害期望值</t>
  </si>
  <si>
    <t>hpg计算规则：（总会心伤害×会心率+总非会心伤害×非会心率）×覆盖率技能系数0.9</t>
  </si>
  <si>
    <t>贯通瓶最终伤害期望值</t>
  </si>
  <si>
    <t>hpg计算规则：
（总会心伤害×会心率+总非会心伤害×非会心率）×覆盖率技能系数0.95×贯通伤害衰减系数平均值×贯通瓶hit损失系数</t>
  </si>
  <si>
    <t>3蓄平刚</t>
  </si>
  <si>
    <t>3蓄平刚刚</t>
  </si>
  <si>
    <t>龙矢hit衰减数据为：1、0.75、0.75、0.75、0.75、0.75、0.75、0.75、0.35、0.35、0.1、0.1、0.1</t>
  </si>
  <si>
    <t>贯通瓶龙矢每hit间隔3帧/60FPS，贯通瓶龙矢一般情况下会比接击瓶多2/3的hit数，由于贯通瓶龙矢没有瓶补正，即使hit数多但依旧是接机瓶龙矢伤害高，贯通瓶的优势在于多hit伤害稳定</t>
  </si>
  <si>
    <t>龙矢平均伤害计算规则：（会心伤害×会心率+非会心伤害×非会心率）×龙矢伤害衰减系数平均值</t>
  </si>
  <si>
    <t>贯通瓶伤害衰减系数物理：1.2、1.2、0.9、0.5、0.3、0.15、0.1、0.05、0、0
属性：1、1、0.8、0.4、0.2、0.1、0.1、0、0</t>
  </si>
  <si>
    <t>注意伤害表中贯通瓶”总hit伤害“看似比接击瓶高，其实不然，伤害表是理想状态，每支箭10hit是贯满了的，没有哪只怪能每次都贯满10hit的。根据统计和实测，最终我选择在“贯通瓶最终伤害期望值”下乘以了一个0.7的"贯通瓶hit损失系数"，一把能打理论伤害的70% 已经算是比较好的了，根据测试贯通瓶打锁刃龙使用0.7系数，波衣龙可以达到0.85左右。</t>
  </si>
  <si>
    <t>数据来源</t>
  </si>
  <si>
    <t>MHWS 1.0 解包目录</t>
  </si>
  <si>
    <t>没做伤口计算的原因：每只怪的每个部位伤口的吸收都不一样，多的高达三倍，少的多五点物理吸收，这个没做想要了解的请上网站查询</t>
  </si>
  <si>
    <t>https://mhwilds.kiranico.com/zh/data/monsters</t>
  </si>
  <si>
    <t>by加钱居士若有问题请QQ联系2396424893</t>
  </si>
  <si>
    <t xml:space="preserve">2025.5.25 </t>
  </si>
  <si>
    <t>更新“最终伤害期望值”计算规则，贯通瓶加入“hit损失系数”</t>
  </si>
  <si>
    <t>已知问题</t>
  </si>
  <si>
    <t>1、龙之千矢物理伤害计算式为：最终物理面板*瓶补正*特射补正*动作值/100*肉质/100，按道理来说引导箭龙矢应该跟以上计算式一样，但是实测伤害还需在以上计算式基础上/1.1，暂不清楚这个1.1是什么（表格中已加上这个系数）</t>
  </si>
  <si>
    <t>猫饭攻击力+</t>
  </si>
  <si>
    <t>属性转换</t>
  </si>
  <si>
    <t>弱特</t>
  </si>
  <si>
    <t>锁刃刺击</t>
  </si>
  <si>
    <t>黑蚀一体</t>
  </si>
  <si>
    <t>冻峰之反叛</t>
  </si>
  <si>
    <t>无瓶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</si>
</sst>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23" applyNumberFormat="0" applyAlignment="0" applyProtection="0">
      <alignment vertical="center"/>
    </xf>
    <xf numFmtId="0" fontId="15" fillId="11" borderId="24" applyNumberFormat="0" applyAlignment="0" applyProtection="0">
      <alignment vertical="center"/>
    </xf>
    <xf numFmtId="0" fontId="16" fillId="11" borderId="23" applyNumberFormat="0" applyAlignment="0" applyProtection="0">
      <alignment vertical="center"/>
    </xf>
    <xf numFmtId="0" fontId="17" fillId="12" borderId="25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8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hidden="1"/>
    </xf>
    <xf numFmtId="0" fontId="0" fillId="2" borderId="1" xfId="0" applyFill="1" applyBorder="1" applyAlignment="1" applyProtection="1">
      <alignment horizontal="left" vertical="center"/>
      <protection locked="0" hidden="1"/>
    </xf>
    <xf numFmtId="0" fontId="1" fillId="3" borderId="1" xfId="0" applyFont="1" applyFill="1" applyBorder="1" applyAlignment="1" applyProtection="1">
      <alignment horizontal="left" vertical="center"/>
      <protection hidden="1"/>
    </xf>
    <xf numFmtId="0" fontId="0" fillId="3" borderId="1" xfId="0" applyFill="1" applyBorder="1" applyAlignment="1" applyProtection="1">
      <alignment horizontal="left" vertical="center"/>
      <protection locked="0" hidden="1"/>
    </xf>
    <xf numFmtId="0" fontId="1" fillId="4" borderId="1" xfId="0" applyFont="1" applyFill="1" applyBorder="1" applyAlignment="1" applyProtection="1">
      <alignment horizontal="left" vertical="center"/>
      <protection hidden="1"/>
    </xf>
    <xf numFmtId="0" fontId="0" fillId="4" borderId="1" xfId="0" applyFill="1" applyBorder="1" applyAlignment="1" applyProtection="1">
      <alignment horizontal="left" vertical="center"/>
      <protection locked="0" hidden="1"/>
    </xf>
    <xf numFmtId="0" fontId="1" fillId="5" borderId="1" xfId="0" applyFont="1" applyFill="1" applyBorder="1" applyAlignment="1" applyProtection="1">
      <alignment horizontal="left" vertical="center"/>
      <protection hidden="1"/>
    </xf>
    <xf numFmtId="0" fontId="0" fillId="5" borderId="1" xfId="0" applyFill="1" applyBorder="1" applyAlignment="1" applyProtection="1">
      <alignment horizontal="left" vertical="center"/>
      <protection locked="0" hidden="1"/>
    </xf>
    <xf numFmtId="0" fontId="0" fillId="2" borderId="1" xfId="0" applyFill="1" applyBorder="1" applyAlignment="1" applyProtection="1">
      <alignment horizontal="left" vertical="center"/>
      <protection hidden="1"/>
    </xf>
    <xf numFmtId="0" fontId="0" fillId="3" borderId="1" xfId="0" applyFill="1" applyBorder="1" applyAlignment="1" applyProtection="1">
      <alignment horizontal="left" vertical="center"/>
      <protection hidden="1"/>
    </xf>
    <xf numFmtId="0" fontId="0" fillId="4" borderId="1" xfId="0" applyFill="1" applyBorder="1" applyAlignment="1" applyProtection="1">
      <alignment horizontal="left" vertical="center"/>
      <protection hidden="1"/>
    </xf>
    <xf numFmtId="0" fontId="0" fillId="6" borderId="2" xfId="0" applyFill="1" applyBorder="1" applyAlignment="1" applyProtection="1">
      <alignment horizontal="left" vertical="center"/>
      <protection hidden="1"/>
    </xf>
    <xf numFmtId="0" fontId="0" fillId="6" borderId="1" xfId="0" applyFill="1" applyBorder="1" applyAlignment="1" applyProtection="1">
      <alignment horizontal="left" vertical="center"/>
      <protection locked="0" hidden="1"/>
    </xf>
    <xf numFmtId="0" fontId="1" fillId="6" borderId="1" xfId="0" applyFont="1" applyFill="1" applyBorder="1" applyAlignment="1" applyProtection="1">
      <alignment horizontal="left" vertical="center"/>
      <protection hidden="1"/>
    </xf>
    <xf numFmtId="0" fontId="0" fillId="4" borderId="1" xfId="0" applyFill="1" applyBorder="1" applyAlignment="1" applyProtection="1">
      <alignment vertical="center"/>
      <protection hidden="1"/>
    </xf>
    <xf numFmtId="0" fontId="0" fillId="4" borderId="1" xfId="0" applyFill="1" applyBorder="1" applyAlignment="1" applyProtection="1">
      <alignment vertical="center"/>
      <protection locked="0" hidden="1"/>
    </xf>
    <xf numFmtId="0" fontId="0" fillId="6" borderId="1" xfId="0" applyFill="1" applyBorder="1" applyAlignment="1" applyProtection="1">
      <alignment vertical="center"/>
      <protection hidden="1"/>
    </xf>
    <xf numFmtId="0" fontId="1" fillId="7" borderId="2" xfId="0" applyFont="1" applyFill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protection hidden="1"/>
    </xf>
    <xf numFmtId="0" fontId="0" fillId="0" borderId="4" xfId="0" applyBorder="1" applyAlignment="1" applyProtection="1">
      <protection hidden="1"/>
    </xf>
    <xf numFmtId="0" fontId="0" fillId="0" borderId="2" xfId="0" applyBorder="1" applyAlignment="1" applyProtection="1">
      <alignment horizontal="center" vertical="center"/>
      <protection locked="0"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5" xfId="0" applyBorder="1" applyAlignment="1" applyProtection="1">
      <protection hidden="1"/>
    </xf>
    <xf numFmtId="0" fontId="0" fillId="0" borderId="5" xfId="0" applyBorder="1" applyAlignment="1" applyProtection="1">
      <protection locked="0"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left"/>
      <protection hidden="1"/>
    </xf>
    <xf numFmtId="0" fontId="3" fillId="3" borderId="2" xfId="0" applyFont="1" applyFill="1" applyBorder="1" applyAlignment="1" applyProtection="1">
      <alignment horizontal="left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4" fillId="8" borderId="1" xfId="0" applyFont="1" applyFill="1" applyBorder="1" applyAlignment="1" applyProtection="1">
      <alignment horizontal="center" vertical="center"/>
      <protection hidden="1"/>
    </xf>
    <xf numFmtId="0" fontId="5" fillId="8" borderId="10" xfId="0" applyFont="1" applyFill="1" applyBorder="1" applyAlignment="1" applyProtection="1">
      <alignment horizontal="left" vertical="center"/>
      <protection hidden="1"/>
    </xf>
    <xf numFmtId="0" fontId="0" fillId="0" borderId="9" xfId="0" applyBorder="1" applyAlignment="1" applyProtection="1">
      <protection hidden="1"/>
    </xf>
    <xf numFmtId="0" fontId="5" fillId="8" borderId="11" xfId="0" applyFont="1" applyFill="1" applyBorder="1" applyAlignment="1" applyProtection="1">
      <alignment horizontal="left" vertical="center"/>
      <protection hidden="1"/>
    </xf>
    <xf numFmtId="0" fontId="5" fillId="8" borderId="12" xfId="0" applyFont="1" applyFill="1" applyBorder="1" applyAlignment="1" applyProtection="1">
      <alignment horizontal="left" vertical="center"/>
      <protection hidden="1"/>
    </xf>
    <xf numFmtId="0" fontId="5" fillId="8" borderId="0" xfId="0" applyFont="1" applyFill="1" applyAlignment="1" applyProtection="1">
      <alignment horizontal="left" vertical="center"/>
      <protection hidden="1"/>
    </xf>
    <xf numFmtId="0" fontId="5" fillId="8" borderId="13" xfId="0" applyFont="1" applyFill="1" applyBorder="1" applyAlignment="1" applyProtection="1">
      <alignment horizontal="left" vertical="center"/>
      <protection hidden="1"/>
    </xf>
    <xf numFmtId="0" fontId="5" fillId="8" borderId="14" xfId="0" applyFont="1" applyFill="1" applyBorder="1" applyAlignment="1" applyProtection="1">
      <alignment horizontal="left" vertical="center"/>
      <protection hidden="1"/>
    </xf>
    <xf numFmtId="0" fontId="5" fillId="8" borderId="15" xfId="0" applyFont="1" applyFill="1" applyBorder="1" applyAlignment="1" applyProtection="1">
      <alignment horizontal="left" vertical="center"/>
      <protection hidden="1"/>
    </xf>
    <xf numFmtId="0" fontId="0" fillId="0" borderId="14" xfId="0" applyBorder="1" applyAlignment="1" applyProtection="1">
      <protection hidden="1"/>
    </xf>
    <xf numFmtId="0" fontId="0" fillId="0" borderId="0" xfId="0" applyAlignment="1" applyProtection="1">
      <alignment horizontal="left" vertical="center" indent="11"/>
      <protection hidden="1"/>
    </xf>
    <xf numFmtId="0" fontId="6" fillId="0" borderId="0" xfId="6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 indent="3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center"/>
      <protection locked="0" hidden="1"/>
    </xf>
    <xf numFmtId="0" fontId="0" fillId="0" borderId="0" xfId="0" applyAlignment="1" applyProtection="1"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0" fontId="0" fillId="0" borderId="0" xfId="0" applyAlignment="1" applyProtection="1">
      <alignment horizontal="left" vertical="center" wrapText="1"/>
      <protection locked="0" hidden="1"/>
    </xf>
    <xf numFmtId="0" fontId="0" fillId="5" borderId="1" xfId="0" applyFill="1" applyBorder="1" applyAlignment="1" applyProtection="1">
      <alignment horizontal="left" vertical="center"/>
      <protection hidden="1"/>
    </xf>
    <xf numFmtId="0" fontId="1" fillId="0" borderId="11" xfId="0" applyFont="1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vertical="center"/>
      <protection locked="0" hidden="1"/>
    </xf>
    <xf numFmtId="0" fontId="1" fillId="6" borderId="1" xfId="0" applyFont="1" applyFill="1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3" fillId="3" borderId="1" xfId="0" applyFont="1" applyFill="1" applyBorder="1" applyAlignment="1" applyProtection="1">
      <alignment horizontal="center"/>
      <protection hidden="1"/>
    </xf>
    <xf numFmtId="0" fontId="0" fillId="0" borderId="17" xfId="0" applyBorder="1" applyAlignment="1" applyProtection="1">
      <protection hidden="1"/>
    </xf>
    <xf numFmtId="0" fontId="5" fillId="8" borderId="1" xfId="0" applyFont="1" applyFill="1" applyBorder="1" applyAlignment="1" applyProtection="1">
      <alignment horizontal="left" vertical="center" wrapText="1"/>
      <protection hidden="1"/>
    </xf>
    <xf numFmtId="0" fontId="5" fillId="8" borderId="18" xfId="0" applyFont="1" applyFill="1" applyBorder="1" applyAlignment="1" applyProtection="1">
      <alignment horizontal="left" vertical="center"/>
      <protection hidden="1"/>
    </xf>
    <xf numFmtId="0" fontId="5" fillId="8" borderId="1" xfId="0" applyFont="1" applyFill="1" applyBorder="1" applyAlignment="1" applyProtection="1">
      <alignment horizontal="left" vertical="center"/>
      <protection hidden="1"/>
    </xf>
    <xf numFmtId="0" fontId="0" fillId="0" borderId="12" xfId="0" applyBorder="1" applyAlignment="1" applyProtection="1">
      <protection hidden="1"/>
    </xf>
    <xf numFmtId="0" fontId="5" fillId="8" borderId="19" xfId="0" applyFont="1" applyFill="1" applyBorder="1" applyAlignment="1" applyProtection="1">
      <alignment horizontal="left" vertical="center"/>
      <protection hidden="1"/>
    </xf>
    <xf numFmtId="0" fontId="0" fillId="0" borderId="19" xfId="0" applyBorder="1" applyAlignment="1" applyProtection="1">
      <protection hidden="1"/>
    </xf>
    <xf numFmtId="0" fontId="5" fillId="8" borderId="1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vertical="center" wrapText="1"/>
      <protection hidden="1"/>
    </xf>
    <xf numFmtId="0" fontId="6" fillId="0" borderId="0" xfId="6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0" fillId="0" borderId="18" xfId="0" applyBorder="1" applyAlignment="1" applyProtection="1"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hwilds.kiranico.com/zh/data/monsters" TargetMode="External"/><Relationship Id="rId1" Type="http://schemas.openxmlformats.org/officeDocument/2006/relationships/hyperlink" Target="https://docs.qq.com/sheet/DVGtBV3ZXZVVaSEpC?tab=ankli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hwilds.kiranico.com/zh/data/monsters" TargetMode="External"/><Relationship Id="rId1" Type="http://schemas.openxmlformats.org/officeDocument/2006/relationships/hyperlink" Target="https://docs.qq.com/sheet/DVGtBV3ZXZVVaSEpC?tab=ank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9"/>
  <sheetViews>
    <sheetView tabSelected="1" workbookViewId="0">
      <selection activeCell="I13" sqref="I13"/>
    </sheetView>
  </sheetViews>
  <sheetFormatPr defaultColWidth="9" defaultRowHeight="14.25"/>
  <cols>
    <col min="1" max="1" width="13.75" style="3" customWidth="1"/>
    <col min="2" max="2" width="13.625" style="3" customWidth="1"/>
    <col min="3" max="3" width="12.125" style="3" customWidth="1"/>
    <col min="4" max="5" width="10.375" style="3" customWidth="1"/>
    <col min="6" max="6" width="10.125" style="3" customWidth="1"/>
    <col min="7" max="7" width="13.25" style="3" customWidth="1"/>
    <col min="8" max="8" width="12.375" style="3" customWidth="1"/>
    <col min="9" max="9" width="11.625" style="3" customWidth="1"/>
    <col min="10" max="10" width="10.125" style="3" customWidth="1"/>
    <col min="11" max="11" width="9.125" style="3" customWidth="1"/>
    <col min="12" max="12" width="13.75" style="3" customWidth="1"/>
    <col min="13" max="13" width="12.375" style="3" customWidth="1"/>
    <col min="14" max="14" width="10" style="3" customWidth="1"/>
    <col min="15" max="15" width="10.75" style="3" customWidth="1"/>
    <col min="16" max="16" width="10.5" style="3" customWidth="1"/>
    <col min="17" max="17" width="8.75" style="3" customWidth="1"/>
    <col min="18" max="18" width="10.375" style="3" customWidth="1"/>
    <col min="19" max="19" width="8.25" style="3" customWidth="1"/>
    <col min="20" max="20" width="11.125" style="3" customWidth="1"/>
    <col min="21" max="16384" width="9" style="3" customWidth="1"/>
  </cols>
  <sheetData>
    <row r="1" spans="1:10">
      <c r="A1" s="4" t="s">
        <v>0</v>
      </c>
      <c r="B1" s="5">
        <v>190</v>
      </c>
      <c r="C1" s="6" t="s">
        <v>1</v>
      </c>
      <c r="D1" s="7">
        <v>0</v>
      </c>
      <c r="E1" s="8" t="s">
        <v>2</v>
      </c>
      <c r="F1" s="9">
        <v>5</v>
      </c>
      <c r="G1" s="10" t="s">
        <v>3</v>
      </c>
      <c r="H1" s="11">
        <v>0</v>
      </c>
      <c r="I1" s="63"/>
      <c r="J1" s="11"/>
    </row>
    <row r="2" spans="1:12">
      <c r="A2" s="12"/>
      <c r="B2" s="5"/>
      <c r="C2" s="13"/>
      <c r="D2" s="7"/>
      <c r="E2" s="14"/>
      <c r="F2" s="9"/>
      <c r="G2" s="15"/>
      <c r="H2" s="16"/>
      <c r="I2" s="15"/>
      <c r="J2" s="16"/>
      <c r="K2" s="59"/>
      <c r="L2" s="59"/>
    </row>
    <row r="3" spans="1:10">
      <c r="A3" s="4" t="s">
        <v>4</v>
      </c>
      <c r="B3" s="5"/>
      <c r="C3" s="6" t="s">
        <v>5</v>
      </c>
      <c r="D3" s="7"/>
      <c r="E3" s="8" t="s">
        <v>6</v>
      </c>
      <c r="F3" s="9"/>
      <c r="G3" s="17" t="s">
        <v>7</v>
      </c>
      <c r="H3" s="16"/>
      <c r="I3" s="17" t="s">
        <v>8</v>
      </c>
      <c r="J3" s="16"/>
    </row>
    <row r="4" spans="1:10">
      <c r="A4" s="12" t="s">
        <v>9</v>
      </c>
      <c r="B4" s="5">
        <v>0</v>
      </c>
      <c r="C4" s="13" t="s">
        <v>10</v>
      </c>
      <c r="D4" s="7">
        <v>0</v>
      </c>
      <c r="E4" s="14" t="s">
        <v>11</v>
      </c>
      <c r="F4" s="9">
        <v>5</v>
      </c>
      <c r="G4" s="15" t="s">
        <v>12</v>
      </c>
      <c r="H4" s="16">
        <v>0</v>
      </c>
      <c r="I4" s="15" t="s">
        <v>13</v>
      </c>
      <c r="J4" s="16">
        <v>0</v>
      </c>
    </row>
    <row r="5" spans="1:10">
      <c r="A5" s="12" t="s">
        <v>14</v>
      </c>
      <c r="B5" s="5">
        <v>0</v>
      </c>
      <c r="C5" s="13" t="s">
        <v>15</v>
      </c>
      <c r="D5" s="7">
        <v>0</v>
      </c>
      <c r="E5" s="14" t="s">
        <v>16</v>
      </c>
      <c r="F5" s="9">
        <v>0</v>
      </c>
      <c r="G5" s="15" t="s">
        <v>17</v>
      </c>
      <c r="H5" s="16">
        <v>1</v>
      </c>
      <c r="I5" s="15"/>
      <c r="J5" s="16"/>
    </row>
    <row r="6" spans="1:19">
      <c r="A6" s="12" t="s">
        <v>18</v>
      </c>
      <c r="B6" s="5">
        <v>1</v>
      </c>
      <c r="C6" s="13" t="s">
        <v>19</v>
      </c>
      <c r="D6" s="7">
        <v>0</v>
      </c>
      <c r="E6" s="14" t="s">
        <v>20</v>
      </c>
      <c r="F6" s="9">
        <v>4</v>
      </c>
      <c r="G6" s="15" t="s">
        <v>21</v>
      </c>
      <c r="H6" s="16">
        <v>0</v>
      </c>
      <c r="I6" s="15"/>
      <c r="J6" s="16"/>
      <c r="L6" s="64" t="s">
        <v>22</v>
      </c>
      <c r="M6" s="65"/>
      <c r="N6" s="66"/>
      <c r="O6" s="65"/>
      <c r="P6" s="37"/>
      <c r="Q6" s="37"/>
      <c r="R6" s="37"/>
      <c r="S6" s="69"/>
    </row>
    <row r="7" ht="28.5" customHeight="1" spans="1:19">
      <c r="A7" s="12" t="s">
        <v>23</v>
      </c>
      <c r="B7" s="5">
        <v>0</v>
      </c>
      <c r="C7" s="13" t="s">
        <v>24</v>
      </c>
      <c r="D7" s="7">
        <v>0</v>
      </c>
      <c r="E7" s="14" t="s">
        <v>25</v>
      </c>
      <c r="F7" s="9">
        <v>0</v>
      </c>
      <c r="G7" s="15" t="s">
        <v>26</v>
      </c>
      <c r="H7" s="16">
        <v>2</v>
      </c>
      <c r="I7" s="15"/>
      <c r="J7" s="16"/>
      <c r="L7" s="23" t="s">
        <v>27</v>
      </c>
      <c r="M7" s="38" t="s">
        <v>28</v>
      </c>
      <c r="N7" s="38" t="s">
        <v>29</v>
      </c>
      <c r="O7" s="38" t="s">
        <v>30</v>
      </c>
      <c r="P7" s="38" t="s">
        <v>31</v>
      </c>
      <c r="Q7" s="38" t="s">
        <v>32</v>
      </c>
      <c r="R7" s="38" t="s">
        <v>33</v>
      </c>
      <c r="S7" s="38" t="s">
        <v>34</v>
      </c>
    </row>
    <row r="8" spans="1:19">
      <c r="A8" s="12" t="s">
        <v>35</v>
      </c>
      <c r="B8" s="5">
        <v>0</v>
      </c>
      <c r="C8" s="13" t="s">
        <v>36</v>
      </c>
      <c r="D8" s="7">
        <v>0</v>
      </c>
      <c r="E8" s="14" t="s">
        <v>37</v>
      </c>
      <c r="F8" s="9">
        <v>1</v>
      </c>
      <c r="G8" s="15"/>
      <c r="H8" s="16"/>
      <c r="I8" s="20"/>
      <c r="J8" s="67"/>
      <c r="L8" s="39" t="s">
        <v>38</v>
      </c>
      <c r="M8" s="30">
        <v>1</v>
      </c>
      <c r="N8" s="30">
        <f>ROUND(E22/10*(C21/100)*0.2,1)</f>
        <v>0</v>
      </c>
      <c r="O8" s="30">
        <f>ROUND(E22/10*(C21/100)*0.2*_xlfn.SWITCH(D5,0,1,1,1.05,2,1.1,3,1.15),1)</f>
        <v>0</v>
      </c>
      <c r="P8" s="30">
        <f t="shared" ref="P8:P16" si="0">N8+$C28</f>
        <v>24.5</v>
      </c>
      <c r="Q8" s="30">
        <f t="shared" ref="Q8:Q16" si="1">O8+$D28</f>
        <v>32.8</v>
      </c>
      <c r="R8" s="30">
        <f t="shared" ref="R8:R16" si="2">P8*$B28</f>
        <v>24.5</v>
      </c>
      <c r="S8" s="30">
        <f t="shared" ref="S8:S16" si="3">Q8*$B28</f>
        <v>32.8</v>
      </c>
    </row>
    <row r="9" spans="1:19">
      <c r="A9" s="12" t="s">
        <v>39</v>
      </c>
      <c r="B9" s="5">
        <v>0</v>
      </c>
      <c r="C9" s="13" t="s">
        <v>40</v>
      </c>
      <c r="D9" s="7">
        <v>0</v>
      </c>
      <c r="E9" s="14"/>
      <c r="F9" s="9"/>
      <c r="G9" s="17" t="s">
        <v>41</v>
      </c>
      <c r="H9" s="16"/>
      <c r="I9" s="68" t="s">
        <v>42</v>
      </c>
      <c r="J9" s="16"/>
      <c r="L9" s="39" t="s">
        <v>43</v>
      </c>
      <c r="M9" s="30">
        <v>2</v>
      </c>
      <c r="N9" s="30">
        <f>ROUND(E22/10*(C21/100)*0.35,1)</f>
        <v>0</v>
      </c>
      <c r="O9" s="30">
        <f>ROUND(E22/10*(C21/100)*0.35*_xlfn.SWITCH(D5,0,1,1,1.05,2,1.1,3,1.15),1)</f>
        <v>0</v>
      </c>
      <c r="P9" s="30">
        <f t="shared" si="0"/>
        <v>27.2</v>
      </c>
      <c r="Q9" s="30">
        <f t="shared" si="1"/>
        <v>36.5</v>
      </c>
      <c r="R9" s="30">
        <f t="shared" si="2"/>
        <v>54.4</v>
      </c>
      <c r="S9" s="30">
        <f t="shared" si="3"/>
        <v>73</v>
      </c>
    </row>
    <row r="10" spans="1:19">
      <c r="A10" s="12" t="s">
        <v>44</v>
      </c>
      <c r="B10" s="5">
        <v>3</v>
      </c>
      <c r="C10" s="13"/>
      <c r="D10" s="7"/>
      <c r="E10" s="14"/>
      <c r="F10" s="9"/>
      <c r="G10" s="15" t="s">
        <v>45</v>
      </c>
      <c r="H10" s="16">
        <v>2</v>
      </c>
      <c r="I10" s="15" t="s">
        <v>46</v>
      </c>
      <c r="J10" s="16" t="b">
        <v>0</v>
      </c>
      <c r="L10" s="40" t="s">
        <v>47</v>
      </c>
      <c r="M10" s="41">
        <v>3</v>
      </c>
      <c r="N10" s="41">
        <f>ROUND(E22/10*(C21/100)*0.5,1)</f>
        <v>0</v>
      </c>
      <c r="O10" s="41">
        <f>ROUND(E22/10*(C21/100)*0.5*_xlfn.SWITCH(D5,0,1,1,1.05,2,1.1,3,1.15),1)</f>
        <v>0</v>
      </c>
      <c r="P10" s="41">
        <f t="shared" si="0"/>
        <v>29.9</v>
      </c>
      <c r="Q10" s="41">
        <f t="shared" si="1"/>
        <v>40.1</v>
      </c>
      <c r="R10" s="41">
        <f t="shared" si="2"/>
        <v>89.7</v>
      </c>
      <c r="S10" s="41">
        <f t="shared" si="3"/>
        <v>120.3</v>
      </c>
    </row>
    <row r="11" spans="1:19">
      <c r="A11" s="12" t="s">
        <v>48</v>
      </c>
      <c r="B11" s="5">
        <v>0</v>
      </c>
      <c r="C11" s="13"/>
      <c r="D11" s="7"/>
      <c r="E11" s="14"/>
      <c r="F11" s="9"/>
      <c r="G11" s="15" t="s">
        <v>49</v>
      </c>
      <c r="H11" s="16">
        <v>0</v>
      </c>
      <c r="I11" s="15" t="s">
        <v>50</v>
      </c>
      <c r="J11" s="16" t="b">
        <v>0</v>
      </c>
      <c r="L11" s="39" t="s">
        <v>51</v>
      </c>
      <c r="M11" s="30">
        <v>4</v>
      </c>
      <c r="N11" s="30">
        <f>ROUND(E22/10*(C21/100)*0.3,1)</f>
        <v>0</v>
      </c>
      <c r="O11" s="30">
        <f>ROUND(E22/10*(C21/100)*0.3*_xlfn.SWITCH(D5,0,1,1,1.05,2,1.1,3,1.15),1)</f>
        <v>0</v>
      </c>
      <c r="P11" s="30">
        <f t="shared" si="0"/>
        <v>24.5</v>
      </c>
      <c r="Q11" s="30">
        <f t="shared" si="1"/>
        <v>32.8</v>
      </c>
      <c r="R11" s="30">
        <f t="shared" si="2"/>
        <v>98</v>
      </c>
      <c r="S11" s="30">
        <f t="shared" si="3"/>
        <v>131.2</v>
      </c>
    </row>
    <row r="12" spans="1:19">
      <c r="A12" s="12" t="s">
        <v>52</v>
      </c>
      <c r="B12" s="5" t="b">
        <v>0</v>
      </c>
      <c r="C12" s="13"/>
      <c r="D12" s="7"/>
      <c r="E12" s="14"/>
      <c r="F12" s="9"/>
      <c r="G12" s="15"/>
      <c r="H12" s="16"/>
      <c r="I12" s="20"/>
      <c r="J12" s="67"/>
      <c r="L12" s="39" t="s">
        <v>53</v>
      </c>
      <c r="M12" s="30">
        <v>5</v>
      </c>
      <c r="N12" s="30">
        <f>ROUND(E22/10*(C21/100)*0.5,1)</f>
        <v>0</v>
      </c>
      <c r="O12" s="30">
        <f>ROUND(E22/10*(C21/100)*0.5*_xlfn.SWITCH(D5,0,1,1,1.05,2,1.1,3,1.15),1)</f>
        <v>0</v>
      </c>
      <c r="P12" s="30">
        <f t="shared" si="0"/>
        <v>27.2</v>
      </c>
      <c r="Q12" s="30">
        <f t="shared" si="1"/>
        <v>36.5</v>
      </c>
      <c r="R12" s="30">
        <f t="shared" si="2"/>
        <v>136</v>
      </c>
      <c r="S12" s="30">
        <f t="shared" si="3"/>
        <v>182.5</v>
      </c>
    </row>
    <row r="13" spans="1:19">
      <c r="A13" s="12" t="s">
        <v>54</v>
      </c>
      <c r="B13" s="5">
        <v>2</v>
      </c>
      <c r="C13" s="13"/>
      <c r="D13" s="7"/>
      <c r="E13" s="14"/>
      <c r="F13" s="9"/>
      <c r="G13" s="17" t="s">
        <v>55</v>
      </c>
      <c r="H13" s="16"/>
      <c r="I13" s="20"/>
      <c r="J13" s="67"/>
      <c r="L13" s="40" t="s">
        <v>56</v>
      </c>
      <c r="M13" s="41">
        <v>5</v>
      </c>
      <c r="N13" s="41">
        <f>ROUND(E22/10*(C21/100)*0.6,1)</f>
        <v>0</v>
      </c>
      <c r="O13" s="41">
        <f>ROUND(E22/10*(C21/100)*0.6*_xlfn.SWITCH(D5,0,1,1,1.05,2,1.1,3,1.15),1)</f>
        <v>0</v>
      </c>
      <c r="P13" s="41">
        <f t="shared" si="0"/>
        <v>29.9</v>
      </c>
      <c r="Q13" s="41">
        <f t="shared" si="1"/>
        <v>40.1</v>
      </c>
      <c r="R13" s="41">
        <f t="shared" si="2"/>
        <v>149.5</v>
      </c>
      <c r="S13" s="41">
        <f t="shared" si="3"/>
        <v>200.5</v>
      </c>
    </row>
    <row r="14" spans="1:19">
      <c r="A14" s="12" t="s">
        <v>57</v>
      </c>
      <c r="B14" s="5" t="b">
        <v>0</v>
      </c>
      <c r="C14" s="13"/>
      <c r="D14" s="7"/>
      <c r="E14" s="14"/>
      <c r="F14" s="9"/>
      <c r="G14" s="15" t="s">
        <v>58</v>
      </c>
      <c r="H14" s="16" t="b">
        <v>1</v>
      </c>
      <c r="I14" s="20"/>
      <c r="J14" s="67"/>
      <c r="L14" s="39" t="s">
        <v>59</v>
      </c>
      <c r="M14" s="30">
        <v>5</v>
      </c>
      <c r="N14" s="30">
        <f>ROUND(E22/10*(C21/100)*0.45,1)</f>
        <v>0</v>
      </c>
      <c r="O14" s="30">
        <f>ROUND(E22/10*(C21/100)*0.45*_xlfn.SWITCH(D5,0,1,1,1.05,2,1.1,3,1.15),1)</f>
        <v>0</v>
      </c>
      <c r="P14" s="30">
        <f t="shared" si="0"/>
        <v>32.7</v>
      </c>
      <c r="Q14" s="30">
        <f t="shared" si="1"/>
        <v>43.8</v>
      </c>
      <c r="R14" s="30">
        <f t="shared" si="2"/>
        <v>163.5</v>
      </c>
      <c r="S14" s="30">
        <f t="shared" si="3"/>
        <v>219</v>
      </c>
    </row>
    <row r="15" spans="1:19">
      <c r="A15" s="12" t="s">
        <v>60</v>
      </c>
      <c r="B15" s="5" t="b">
        <v>0</v>
      </c>
      <c r="C15" s="13"/>
      <c r="D15" s="7"/>
      <c r="E15" s="18"/>
      <c r="F15" s="19"/>
      <c r="G15" s="20" t="s">
        <v>61</v>
      </c>
      <c r="H15" s="16" t="b">
        <v>1</v>
      </c>
      <c r="I15" s="20"/>
      <c r="J15" s="67"/>
      <c r="L15" s="39" t="s">
        <v>62</v>
      </c>
      <c r="M15" s="30">
        <v>6</v>
      </c>
      <c r="N15" s="30">
        <f>ROUND(E22/10*(C21/100)*0.65,1)</f>
        <v>0</v>
      </c>
      <c r="O15" s="30">
        <f>ROUND(E22/10*(C21/100)*0.65*_xlfn.SWITCH(D5,0,1,1,1.05,2,1.1,3,1.15),1)</f>
        <v>0</v>
      </c>
      <c r="P15" s="30">
        <f t="shared" si="0"/>
        <v>35.4</v>
      </c>
      <c r="Q15" s="30">
        <f t="shared" si="1"/>
        <v>47.4</v>
      </c>
      <c r="R15" s="30">
        <f t="shared" si="2"/>
        <v>212.4</v>
      </c>
      <c r="S15" s="30">
        <f t="shared" si="3"/>
        <v>284.4</v>
      </c>
    </row>
    <row r="16" spans="1:19">
      <c r="A16" s="12" t="s">
        <v>63</v>
      </c>
      <c r="B16" s="5" t="b">
        <v>0</v>
      </c>
      <c r="C16" s="13"/>
      <c r="D16" s="7"/>
      <c r="E16" s="18"/>
      <c r="F16" s="19"/>
      <c r="G16" s="15" t="s">
        <v>64</v>
      </c>
      <c r="H16" s="16" t="b">
        <v>0</v>
      </c>
      <c r="I16" s="20"/>
      <c r="J16" s="67"/>
      <c r="L16" s="40" t="s">
        <v>65</v>
      </c>
      <c r="M16" s="41">
        <v>6</v>
      </c>
      <c r="N16" s="41">
        <f>ROUND(E22/10*(C21/100)*0.75,1)</f>
        <v>0</v>
      </c>
      <c r="O16" s="41">
        <f>ROUND(E22/10*(C21/100)*0.75*_xlfn.SWITCH(D5,0,1,1,1.05,2,1.1,3,1.15),1)</f>
        <v>0</v>
      </c>
      <c r="P16" s="41">
        <f t="shared" si="0"/>
        <v>38.1</v>
      </c>
      <c r="Q16" s="41">
        <f t="shared" si="1"/>
        <v>51.1</v>
      </c>
      <c r="R16" s="41">
        <f t="shared" si="2"/>
        <v>228.6</v>
      </c>
      <c r="S16" s="41">
        <f t="shared" si="3"/>
        <v>306.6</v>
      </c>
    </row>
    <row r="17" spans="1:19">
      <c r="A17" s="12" t="s">
        <v>66</v>
      </c>
      <c r="B17" s="5" t="b">
        <v>0</v>
      </c>
      <c r="C17" s="13"/>
      <c r="D17" s="7"/>
      <c r="E17" s="18"/>
      <c r="F17" s="19"/>
      <c r="G17" s="15"/>
      <c r="H17" s="16"/>
      <c r="I17" s="20"/>
      <c r="J17" s="67"/>
      <c r="L17" s="40" t="s">
        <v>67</v>
      </c>
      <c r="M17" s="41">
        <v>6</v>
      </c>
      <c r="N17" s="41">
        <f>ROUND(E22/10*(C21/100)*0.3,1)</f>
        <v>0</v>
      </c>
      <c r="O17" s="41">
        <f>ROUND(E22/10*(C21/100)*0.3*_xlfn.SWITCH(D5,0,1,1,1.05,2,1.1,3,1.15),1)</f>
        <v>0</v>
      </c>
      <c r="P17" s="41">
        <f>N17+$C39</f>
        <v>75.1</v>
      </c>
      <c r="Q17" s="41">
        <f>O17+$D39</f>
        <v>100.7</v>
      </c>
      <c r="R17" s="41">
        <f>P17*$B39</f>
        <v>450.6</v>
      </c>
      <c r="S17" s="41">
        <f>Q17*$B39</f>
        <v>604.2</v>
      </c>
    </row>
    <row r="18" spans="1:19">
      <c r="A18" s="12" t="s">
        <v>68</v>
      </c>
      <c r="B18" s="5" t="b">
        <v>1</v>
      </c>
      <c r="C18" s="13"/>
      <c r="D18" s="7"/>
      <c r="E18" s="18"/>
      <c r="F18" s="19"/>
      <c r="G18" s="15"/>
      <c r="H18" s="16"/>
      <c r="I18" s="20"/>
      <c r="J18" s="67"/>
      <c r="L18" s="40" t="s">
        <v>69</v>
      </c>
      <c r="M18" s="41">
        <v>6</v>
      </c>
      <c r="N18" s="41">
        <f>ROUND(E22/10*(C21/100)*0.3,1)</f>
        <v>0</v>
      </c>
      <c r="O18" s="41">
        <f>ROUND(E22/10*(C21/100)*0.3*_xlfn.SWITCH(D5,0,1,1,1.05,2,1.1,3,1.15),1)</f>
        <v>0</v>
      </c>
      <c r="P18" s="41">
        <f>N18+$C40</f>
        <v>77.2</v>
      </c>
      <c r="Q18" s="41">
        <f>O18+$D40</f>
        <v>103.5</v>
      </c>
      <c r="R18" s="41">
        <f>P18*$B40</f>
        <v>463.2</v>
      </c>
      <c r="S18" s="41">
        <f>Q18*$B40</f>
        <v>621</v>
      </c>
    </row>
    <row r="19" ht="15" customHeight="1" spans="12:19">
      <c r="L19" s="43" t="s">
        <v>70</v>
      </c>
      <c r="M19" s="30">
        <v>3</v>
      </c>
      <c r="N19" s="30">
        <f>ROUND(E22/10*(C21/100)*0.5,1)</f>
        <v>0</v>
      </c>
      <c r="O19" s="30">
        <f>ROUND(E22/10*(C21/100)*0.5*_xlfn.SWITCH(D5,0,1,1,1.05,2,1.1,3,1.15),1)</f>
        <v>0</v>
      </c>
      <c r="P19" s="30">
        <f>N19+$C41</f>
        <v>29.7</v>
      </c>
      <c r="Q19" s="30">
        <f>O19+$D41</f>
        <v>43.8</v>
      </c>
      <c r="R19" s="30">
        <f>P19*$B41</f>
        <v>89.1</v>
      </c>
      <c r="S19" s="30">
        <f>Q19*$B41</f>
        <v>131.4</v>
      </c>
    </row>
    <row r="20" ht="15.75" customHeight="1" spans="1:19">
      <c r="A20" s="21" t="s">
        <v>71</v>
      </c>
      <c r="B20" s="22" t="s">
        <v>72</v>
      </c>
      <c r="C20" s="22" t="s">
        <v>40</v>
      </c>
      <c r="E20" s="23" t="s">
        <v>73</v>
      </c>
      <c r="F20" s="24"/>
      <c r="L20" s="39" t="s">
        <v>74</v>
      </c>
      <c r="M20" s="30">
        <v>5</v>
      </c>
      <c r="N20" s="30">
        <f>ROUND(E22/10*(C21/100)*0.6,1)</f>
        <v>0</v>
      </c>
      <c r="O20" s="30">
        <f>ROUND(E22/10*(C21/100)*0.6*_xlfn.SWITCH(D5,0,1,1,1.05,2,1.1,3,1.15),1)</f>
        <v>0</v>
      </c>
      <c r="P20" s="30">
        <f>N20+$C42</f>
        <v>29.7</v>
      </c>
      <c r="Q20" s="30">
        <f>O20+$D42</f>
        <v>43.8</v>
      </c>
      <c r="R20" s="30">
        <f>P20*$B42</f>
        <v>148.5</v>
      </c>
      <c r="S20" s="30">
        <f>Q20*$B42</f>
        <v>219</v>
      </c>
    </row>
    <row r="21" ht="15" customHeight="1" spans="1:19">
      <c r="A21" s="25"/>
      <c r="B21" s="26">
        <v>88</v>
      </c>
      <c r="C21" s="26">
        <v>30</v>
      </c>
      <c r="E21" s="23" t="s">
        <v>75</v>
      </c>
      <c r="F21" s="24"/>
      <c r="G21" s="27"/>
      <c r="L21" s="39" t="s">
        <v>76</v>
      </c>
      <c r="M21" s="30">
        <v>6</v>
      </c>
      <c r="N21" s="30">
        <f>ROUND(E22/10*(C21/100)*0.75,1)</f>
        <v>0</v>
      </c>
      <c r="O21" s="30">
        <f>ROUND(E22/10*(C21/100)*0.75*_xlfn.SWITCH(D5,0,1,1,1.05,2,1.1,3,1.15),1)</f>
        <v>0</v>
      </c>
      <c r="P21" s="30">
        <f>N21+$C43</f>
        <v>37.1</v>
      </c>
      <c r="Q21" s="30">
        <f>O21+$D43</f>
        <v>54.7</v>
      </c>
      <c r="R21" s="30">
        <f>P21*$B43</f>
        <v>222.6</v>
      </c>
      <c r="S21" s="30">
        <f>Q21*$B43</f>
        <v>328.2</v>
      </c>
    </row>
    <row r="22" ht="15" customHeight="1" spans="1:19">
      <c r="A22" s="28"/>
      <c r="B22" s="29"/>
      <c r="C22" s="29"/>
      <c r="E22" s="30">
        <f t="array" ref="E22">IF(D1=0,0,D1*_xlfn.SWITCH(D4,0,1,1,1,2,1.1,3,1.2)*_xlfn.SWITCH(D8,0,1,1,1.05,2,1.1,3,1.15)+_xlfn.SWITCH(D4,0,0,1,40,2,50,3,60)+_xlfn.SWITCH(D7,0,0,1,40,2,60,3,80,4,100,5,120)+_xlfn.SWITCH(J4,0,0,1,80,2,120,3,180))</f>
        <v>0</v>
      </c>
      <c r="F22" s="24"/>
      <c r="L22" s="42" t="s">
        <v>77</v>
      </c>
      <c r="M22" s="30">
        <v>8</v>
      </c>
      <c r="N22" s="30">
        <f>ROUND(E22/10*(C21/100)*0.3,1)</f>
        <v>0</v>
      </c>
      <c r="O22" s="30">
        <f>ROUND(E22/10*(C21/100)*0.3*_xlfn.SWITCH(D5,0,1,1,1.05,2,1.1,3,1.15),1)</f>
        <v>0</v>
      </c>
      <c r="P22" s="30">
        <f>N22+$C37</f>
        <v>65.8</v>
      </c>
      <c r="Q22" s="30">
        <f>O22+$D37</f>
        <v>88.1</v>
      </c>
      <c r="R22" s="30">
        <f>P22*$B37</f>
        <v>526.4</v>
      </c>
      <c r="S22" s="30">
        <f>Q22*$B37</f>
        <v>704.8</v>
      </c>
    </row>
    <row r="23" ht="15.75" customHeight="1" spans="1:19">
      <c r="A23" s="31" t="s">
        <v>78</v>
      </c>
      <c r="B23" s="31" t="s">
        <v>79</v>
      </c>
      <c r="C23" s="31" t="s">
        <v>80</v>
      </c>
      <c r="L23" s="42" t="s">
        <v>81</v>
      </c>
      <c r="M23" s="30">
        <v>8</v>
      </c>
      <c r="N23" s="30">
        <f>ROUND(E22/10*(C21/100)*0.3,1)</f>
        <v>0</v>
      </c>
      <c r="O23" s="30">
        <f>ROUND(E22/10*(C21/100)*0.3*_xlfn.SWITCH(D5,0,1,1,1.05,2,1.1,3,1.15),1)</f>
        <v>0</v>
      </c>
      <c r="P23" s="30">
        <f>N23+$C38</f>
        <v>35.4</v>
      </c>
      <c r="Q23" s="30">
        <f>O23+$D38</f>
        <v>49.8</v>
      </c>
      <c r="R23" s="30">
        <f>P23*$B38</f>
        <v>283.2</v>
      </c>
      <c r="S23" s="30">
        <f>Q23*$B38</f>
        <v>398.4</v>
      </c>
    </row>
    <row r="24" ht="15.75" customHeight="1" spans="1:13">
      <c r="A24" s="31">
        <f>B1*ROUND(_xlfn.SWITCH(B4,0,1,1,1,2,1,3,1,4,1.02,5,1.04)*_xlfn.SWITCH(B11,0,1,1,1,2,1.05,3,1.05,4,1.1,5,1.3)*_xlfn.SWITCH(B9,0,1,1,1.05,2,1.1,3,1.15),2)*IF(B12,1.3,1)*IF(J10,1.05,1)*IF(J11,1.1,1)+_xlfn.SWITCH(B4,0,0,1,3,2,5,3,7,4,8,5,9)+_xlfn.SWITCH(B5,0,0,1,10,2,15,3,25)+_xlfn.SWITCH(B6,0,0,1,3,2,6,3,10,4,15,5,20)+_xlfn.SWITCH(B7,0,0,1,5,2,10,3,15,4,20,5,25)+B13+IF(B14,7,0)+IF(B15,10,0)+IF(B16,10,0)+IF(B17,15,0)+IF(B18,6,0)+_xlfn.SWITCH(D7,0,0,1,6,2,7,3,8,4,9,5,10)+_xlfn.SWITCH(B8,0,0,1,10,2,15,3,20,4,25,5,30)+_xlfn.SWITCH(F4,0,0,1,4,2,8,3,12,4,16,5,20)+_xlfn.SWITCH(H11,0,0,2,25,4,50)+_xlfn.SWITCH(H10,0,0,2,0,4,15)</f>
        <v>221</v>
      </c>
      <c r="B24" s="31">
        <f t="array" ref="B24">IF(D1=0,0,D1*_xlfn.SWITCH(D4,0,1,1,1,2,1.1,3,1.2)*_xlfn.SWITCH(D8,0,1,1,1.05,2,1.1,3,1.15)*_xlfn.SWITCH(D6,0,1,1,1.05,2,1.1,3,1.15)+_xlfn.SWITCH(D4,0,0,1,40,2,50,3,60)+_xlfn.SWITCH(D9,0,0,1,3,2,4,3,5)+_xlfn.SWITCH(D7,0,0,1,40,2,60,3,80,4,100,5,120))</f>
        <v>0</v>
      </c>
      <c r="C24" s="31">
        <f>F1+_xlfn.SWITCH(F4,0,0,1,3,2,5,3,7,4,10,5,15)+_xlfn.SWITCH(F5,0,0,1,4,2,8,3,12,4,16,5,20)+_xlfn.SWITCH(F6,0,0,1,5,2,10,3,15,4,20,5,30)+_xlfn.SWITCH(F7,0,0,1,10,2,20,3,30,4,40,5,50)+_xlfn.SWITCH(F8,0,0,1,3,2,6,3,10)+_xlfn.SWITCH(L4,0,0,2,15,4,15)+IF(J10,10,0)+_xlfn.SWITCH(H10,0,0,2,15,4,15)-H1</f>
        <v>58</v>
      </c>
      <c r="D24" s="31" t="s">
        <v>82</v>
      </c>
      <c r="E24" s="32"/>
      <c r="F24" s="33" t="s">
        <v>83</v>
      </c>
      <c r="G24" s="34"/>
      <c r="H24" s="34"/>
      <c r="I24" s="34"/>
      <c r="J24" s="34"/>
      <c r="K24" s="34"/>
      <c r="L24" s="34"/>
      <c r="M24" s="34"/>
    </row>
    <row r="25" ht="15.75" customHeight="1" spans="1:13">
      <c r="A25" s="31">
        <f>A24-_xlfn.SWITCH(H10,0,0,2,0,4,5)</f>
        <v>221</v>
      </c>
      <c r="B25" s="31">
        <f>B24</f>
        <v>0</v>
      </c>
      <c r="C25" s="31">
        <f>F1+_xlfn.SWITCH(F4,0,0,1,3,2,5,3,7,4,10,5,15)+_xlfn.SWITCH(F5,0,0,1,4,2,8,3,12,4,16,5,20)+_xlfn.SWITCH(F6,0,0,1,5,2,10,3,15,4,20,5,30)+_xlfn.SWITCH(F7,0,0,1,10,2,20,3,30,4,40,5,50)+_xlfn.SWITCH(F8,0,0,1,3,2,6,3,10)+_xlfn.SWITCH(L4,0,0,2,15,4,15)+IF(J10,10,0)-H1</f>
        <v>43</v>
      </c>
      <c r="D25" s="31" t="s">
        <v>84</v>
      </c>
      <c r="E25" s="32"/>
      <c r="F25" s="35" t="s">
        <v>85</v>
      </c>
      <c r="G25" s="34"/>
      <c r="H25" s="34"/>
      <c r="I25" s="34"/>
      <c r="J25" s="34"/>
      <c r="K25" s="34"/>
      <c r="L25" s="34"/>
      <c r="M25" s="34"/>
    </row>
    <row r="26" ht="15" customHeight="1" spans="1:21">
      <c r="A26" s="36" t="s">
        <v>86</v>
      </c>
      <c r="B26" s="37"/>
      <c r="C26" s="37"/>
      <c r="D26" s="37"/>
      <c r="E26" s="37"/>
      <c r="F26" s="37"/>
      <c r="G26" s="37"/>
      <c r="H26" s="37"/>
      <c r="I26" s="37"/>
      <c r="J26" s="69"/>
      <c r="K26" s="70"/>
      <c r="L26" s="36" t="s">
        <v>87</v>
      </c>
      <c r="M26" s="37"/>
      <c r="N26" s="37"/>
      <c r="O26" s="37"/>
      <c r="P26" s="37"/>
      <c r="Q26" s="37"/>
      <c r="R26" s="37"/>
      <c r="S26" s="37"/>
      <c r="T26" s="30" t="s">
        <v>88</v>
      </c>
      <c r="U26" s="24"/>
    </row>
    <row r="27" ht="42.75" customHeight="1" spans="1:21">
      <c r="A27" s="23" t="s">
        <v>27</v>
      </c>
      <c r="B27" s="38" t="s">
        <v>28</v>
      </c>
      <c r="C27" s="38" t="s">
        <v>89</v>
      </c>
      <c r="D27" s="38" t="s">
        <v>90</v>
      </c>
      <c r="E27" s="38" t="s">
        <v>91</v>
      </c>
      <c r="F27" s="38" t="s">
        <v>92</v>
      </c>
      <c r="G27" s="38" t="s">
        <v>31</v>
      </c>
      <c r="H27" s="38" t="s">
        <v>32</v>
      </c>
      <c r="I27" s="38" t="s">
        <v>33</v>
      </c>
      <c r="J27" s="38" t="s">
        <v>34</v>
      </c>
      <c r="K27" s="70"/>
      <c r="L27" s="23" t="s">
        <v>27</v>
      </c>
      <c r="M27" s="38" t="s">
        <v>28</v>
      </c>
      <c r="N27" s="38" t="s">
        <v>89</v>
      </c>
      <c r="O27" s="38" t="s">
        <v>90</v>
      </c>
      <c r="P27" s="38" t="s">
        <v>91</v>
      </c>
      <c r="Q27" s="38" t="s">
        <v>92</v>
      </c>
      <c r="R27" s="82" t="s">
        <v>93</v>
      </c>
      <c r="S27" s="82" t="s">
        <v>94</v>
      </c>
      <c r="T27" s="38" t="s">
        <v>33</v>
      </c>
      <c r="U27" s="38" t="s">
        <v>34</v>
      </c>
    </row>
    <row r="28" spans="1:21">
      <c r="A28" s="39" t="s">
        <v>38</v>
      </c>
      <c r="B28" s="30">
        <v>1</v>
      </c>
      <c r="C28" s="30">
        <f>ROUND(IF(H14,1.4,1)*IF(H16,1.3,1)*A24*_xlfn.SWITCH(H4,0,1,1,1.05)*(B21/100)*((9+IF(J10,2,0))/100),1)</f>
        <v>24.5</v>
      </c>
      <c r="D28" s="30">
        <f>ROUND(IF(H14,1.4,1)*IF(H16,1.3,1)*A24*_xlfn.SWITCH(H4,0,1,1,1.05)*(B21/100)*((9+IF(J10,2,0))/100)*_xlfn.SWITCH(B10,0,1.25,1,1.28,2,1.31,3,1.34,4,1.37,5,1.4),1)</f>
        <v>32.8</v>
      </c>
      <c r="E28" s="30">
        <f>ROUND(B24/10*(C21/100)*0.2,1)</f>
        <v>0</v>
      </c>
      <c r="F28" s="30">
        <f t="shared" ref="F28:F43" si="4">ROUND(E28*_xlfn.SWITCH(D5,0,1,1,1.05,2,1.1,3,1.15),1)</f>
        <v>0</v>
      </c>
      <c r="G28" s="30">
        <f t="shared" ref="G28:G43" si="5">C28+$E28</f>
        <v>24.5</v>
      </c>
      <c r="H28" s="30">
        <f t="shared" ref="H28:H43" si="6">D28+$F28</f>
        <v>32.8</v>
      </c>
      <c r="I28" s="30">
        <f t="shared" ref="I28:I36" si="7">G28*$B28</f>
        <v>24.5</v>
      </c>
      <c r="J28" s="30">
        <f t="shared" ref="J28:J36" si="8">H28*$B28</f>
        <v>32.8</v>
      </c>
      <c r="K28" s="70"/>
      <c r="L28" s="42" t="s">
        <v>95</v>
      </c>
      <c r="M28" s="30">
        <v>1</v>
      </c>
      <c r="N28" s="30">
        <f>ROUND(IF(H15,1.2,1)*A24*_xlfn.SWITCH(H4,0,1,1,1.05)*(B21/100)*3/100,1)</f>
        <v>7</v>
      </c>
      <c r="O28" s="30">
        <f>ROUND(IF(H15,1.2,1)*A24*_xlfn.SWITCH(H4,0,1,1,1.05)*_xlfn.SWITCH(B10,0,1.25,1,1.28,2,1.31,3,1.34,4,1.37,5,1.4)*(B21/100)*3/100,1)</f>
        <v>9.4</v>
      </c>
      <c r="P28" s="30">
        <f>ROUND(B24/10*(C21/100)*0.14,1)</f>
        <v>0</v>
      </c>
      <c r="Q28" s="30">
        <f t="shared" ref="Q28:Q38" si="9">ROUND(P28*_xlfn.SWITCH(D5,0,1,1,1.05,2,1.1,3,1.15),1)</f>
        <v>0</v>
      </c>
      <c r="R28" s="30">
        <f t="shared" ref="R28:R38" si="10">N28+$P28</f>
        <v>7</v>
      </c>
      <c r="S28" s="30">
        <f t="shared" ref="S28:S38" si="11">O28+$Q28</f>
        <v>9.4</v>
      </c>
      <c r="T28" s="30">
        <f t="shared" ref="T28:T36" si="12">ROUND(10*N28*M28*0.44+10*P28*M28*0.36,1)</f>
        <v>30.8</v>
      </c>
      <c r="U28" s="30">
        <f t="shared" ref="U28:U36" si="13">ROUND(10*O28*M28*0.44+10*Q28*M28*0.36,1)</f>
        <v>41.4</v>
      </c>
    </row>
    <row r="29" spans="1:21">
      <c r="A29" s="39" t="s">
        <v>43</v>
      </c>
      <c r="B29" s="30">
        <v>2</v>
      </c>
      <c r="C29" s="30">
        <f>ROUND(IF(H14,1.4,1)*IF(H16,1.3,1)*A24*_xlfn.SWITCH(H4,0,1,1,1.05)*(B21/100)*((10+IF(J10,2,0))/100),1)</f>
        <v>27.2</v>
      </c>
      <c r="D29" s="30">
        <f>ROUND(IF(H14,1.4,1)*IF(H16,1.3,1)*A24*_xlfn.SWITCH(H4,0,1,1,1.05)*(B21/100)*_xlfn.SWITCH(B10,0,1.25,1,1.28,2,1.31,3,1.34,4,1.37,5,1.4)*((10+IF(J10,2,0))/100),1)</f>
        <v>36.5</v>
      </c>
      <c r="E29" s="30">
        <f>ROUND(B24/10*(C21/100)*0.35,1)</f>
        <v>0</v>
      </c>
      <c r="F29" s="30">
        <f t="shared" si="4"/>
        <v>0</v>
      </c>
      <c r="G29" s="30">
        <f t="shared" si="5"/>
        <v>27.2</v>
      </c>
      <c r="H29" s="30">
        <f t="shared" si="6"/>
        <v>36.5</v>
      </c>
      <c r="I29" s="30">
        <f t="shared" si="7"/>
        <v>54.4</v>
      </c>
      <c r="J29" s="30">
        <f t="shared" si="8"/>
        <v>73</v>
      </c>
      <c r="K29" s="70"/>
      <c r="L29" s="42" t="s">
        <v>96</v>
      </c>
      <c r="M29" s="30">
        <v>2</v>
      </c>
      <c r="N29" s="30">
        <f>ROUND(IF(H15,1.2,1)*A24*_xlfn.SWITCH(H4,0,1,1,1.05)*(B21/100)*4/100,1)</f>
        <v>9.3</v>
      </c>
      <c r="O29" s="30">
        <f>ROUND(IF(H15,1.2,1)*A24*_xlfn.SWITCH(H4,0,1,1,1.05)*_xlfn.SWITCH(B10,0,1.25,1,1.28,2,1.31,3,1.34,4,1.37,5,1.4)*(B21/100)*4/100,1)</f>
        <v>12.5</v>
      </c>
      <c r="P29" s="30">
        <f>ROUND(B24/10*(C21/100)*0.15,1)</f>
        <v>0</v>
      </c>
      <c r="Q29" s="30">
        <f t="shared" si="9"/>
        <v>0</v>
      </c>
      <c r="R29" s="30">
        <f t="shared" si="10"/>
        <v>9.3</v>
      </c>
      <c r="S29" s="30">
        <f t="shared" si="11"/>
        <v>12.5</v>
      </c>
      <c r="T29" s="30">
        <f t="shared" si="12"/>
        <v>81.8</v>
      </c>
      <c r="U29" s="30">
        <f t="shared" si="13"/>
        <v>110</v>
      </c>
    </row>
    <row r="30" spans="1:21">
      <c r="A30" s="40" t="s">
        <v>47</v>
      </c>
      <c r="B30" s="41">
        <v>3</v>
      </c>
      <c r="C30" s="41">
        <f>ROUND(IF(H14,1.4,1)*IF(H16,1.3,1)*A24*_xlfn.SWITCH(H4,0,1,1,1.05)*(B21/100)*((11+IF(J10,2,0))/100),1)</f>
        <v>29.9</v>
      </c>
      <c r="D30" s="41">
        <f>ROUND(IF(H14,1.4,1)*IF(H16,1.3,1)*A24*_xlfn.SWITCH(H4,0,1,1,1.05)*(B21/100)*_xlfn.SWITCH(B10,0,1.25,1,1.28,2,1.31,3,1.34,4,1.37,5,1.4)*((11+IF(J10,2,0))/100),1)</f>
        <v>40.1</v>
      </c>
      <c r="E30" s="41">
        <f>ROUND(B24/10*(C21/100)*0.5,1)</f>
        <v>0</v>
      </c>
      <c r="F30" s="41">
        <f t="shared" si="4"/>
        <v>0</v>
      </c>
      <c r="G30" s="41">
        <f t="shared" si="5"/>
        <v>29.9</v>
      </c>
      <c r="H30" s="41">
        <f t="shared" si="6"/>
        <v>40.1</v>
      </c>
      <c r="I30" s="41">
        <f t="shared" si="7"/>
        <v>89.7</v>
      </c>
      <c r="J30" s="41">
        <f t="shared" si="8"/>
        <v>120.3</v>
      </c>
      <c r="K30" s="70"/>
      <c r="L30" s="40" t="s">
        <v>97</v>
      </c>
      <c r="M30" s="71">
        <v>2</v>
      </c>
      <c r="N30" s="71">
        <f>ROUND(IF(H15,1.2,1)*A24*_xlfn.SWITCH(H4,0,1,1,1.05)*(B21/100)*5/100,1)</f>
        <v>11.7</v>
      </c>
      <c r="O30" s="71">
        <f>ROUND(IF(H15,1.2,1)*A24*_xlfn.SWITCH(H4,0,1,1,1.05)*_xlfn.SWITCH(B10,0,1.25,1,1.28,2,1.31,3,1.34,4,1.37,5,1.4)*(B21/100)*5/100,1)</f>
        <v>15.6</v>
      </c>
      <c r="P30" s="71">
        <f>ROUND(B24/10*(C21/100)*0.2,1)</f>
        <v>0</v>
      </c>
      <c r="Q30" s="71">
        <f t="shared" si="9"/>
        <v>0</v>
      </c>
      <c r="R30" s="71">
        <f t="shared" si="10"/>
        <v>11.7</v>
      </c>
      <c r="S30" s="71">
        <f t="shared" si="11"/>
        <v>15.6</v>
      </c>
      <c r="T30" s="71">
        <f t="shared" si="12"/>
        <v>103</v>
      </c>
      <c r="U30" s="71">
        <f t="shared" si="13"/>
        <v>137.3</v>
      </c>
    </row>
    <row r="31" spans="1:21">
      <c r="A31" s="39" t="s">
        <v>51</v>
      </c>
      <c r="B31" s="30">
        <v>4</v>
      </c>
      <c r="C31" s="30">
        <f>ROUND(IF(H14,1.4,1)*IF(H16,1.3,1)*A24*_xlfn.SWITCH(H6,0,1,1,1.05)*(B21/100)*(9/100),1)</f>
        <v>24.5</v>
      </c>
      <c r="D31" s="30">
        <f>ROUND(IF(H14,1.4,1)*IF(H16,1.3,1)*A24*_xlfn.SWITCH(H6,0,1,1,1.05)*(B21/100)*_xlfn.SWITCH(B10,0,1.25,1,1.28,2,1.31,3,1.34,4,1.37,5,1.4)*(9/100),1)</f>
        <v>32.8</v>
      </c>
      <c r="E31" s="30">
        <f>ROUND(B24/10*(C21/100)*0.3,1)</f>
        <v>0</v>
      </c>
      <c r="F31" s="30">
        <f t="shared" si="4"/>
        <v>0</v>
      </c>
      <c r="G31" s="30">
        <f t="shared" si="5"/>
        <v>24.5</v>
      </c>
      <c r="H31" s="30">
        <f t="shared" si="6"/>
        <v>32.8</v>
      </c>
      <c r="I31" s="30">
        <f t="shared" si="7"/>
        <v>98</v>
      </c>
      <c r="J31" s="30">
        <f t="shared" si="8"/>
        <v>131.2</v>
      </c>
      <c r="K31" s="70"/>
      <c r="L31" s="42" t="s">
        <v>51</v>
      </c>
      <c r="M31" s="30">
        <v>4</v>
      </c>
      <c r="N31" s="30">
        <f>ROUND(IF(H15,1.2,1)*A24*_xlfn.SWITCH(H4,0,1,1,1.05)*(B21/100)*3/100,1)</f>
        <v>7</v>
      </c>
      <c r="O31" s="30">
        <f>ROUND(IF(H15,1.2,1)*A24*_xlfn.SWITCH(H4,0,1,1,1.05)*_xlfn.SWITCH(B10,0,1.25,1,1.28,2,1.31,3,1.34,4,1.37,5,1.4)*(B21/100)*4/100,1)</f>
        <v>12.5</v>
      </c>
      <c r="P31" s="30">
        <f>ROUND(B24/10*(C21/100)*0.14,1)</f>
        <v>0</v>
      </c>
      <c r="Q31" s="30">
        <f t="shared" si="9"/>
        <v>0</v>
      </c>
      <c r="R31" s="30">
        <f t="shared" si="10"/>
        <v>7</v>
      </c>
      <c r="S31" s="30">
        <f t="shared" si="11"/>
        <v>12.5</v>
      </c>
      <c r="T31" s="30">
        <f t="shared" si="12"/>
        <v>123.2</v>
      </c>
      <c r="U31" s="30">
        <f t="shared" si="13"/>
        <v>220</v>
      </c>
    </row>
    <row r="32" spans="1:21">
      <c r="A32" s="39" t="s">
        <v>53</v>
      </c>
      <c r="B32" s="30">
        <v>5</v>
      </c>
      <c r="C32" s="30">
        <f>ROUND(IF(H14,1.4,1)*IF(H16,1.3,1)*A24*_xlfn.SWITCH(H6,0,1,1,1.05)*(B21/100)*(10/100),1)</f>
        <v>27.2</v>
      </c>
      <c r="D32" s="30">
        <f>ROUND(IF(H14,1.4,1)*IF(H16,1.3,1)*A24*_xlfn.SWITCH(H6,0,1,1,1.05)*(B21/100)*_xlfn.SWITCH(B10,0,1.25,1,1.28,2,1.31,3,1.34,4,1.37,5,1.4)*(10/100),1)</f>
        <v>36.5</v>
      </c>
      <c r="E32" s="30">
        <f>ROUND(B24/10*(C21/100)*0.5,1)</f>
        <v>0</v>
      </c>
      <c r="F32" s="30">
        <f t="shared" si="4"/>
        <v>0</v>
      </c>
      <c r="G32" s="30">
        <f t="shared" si="5"/>
        <v>27.2</v>
      </c>
      <c r="H32" s="30">
        <f t="shared" si="6"/>
        <v>36.5</v>
      </c>
      <c r="I32" s="30">
        <f t="shared" si="7"/>
        <v>136</v>
      </c>
      <c r="J32" s="30">
        <f t="shared" si="8"/>
        <v>182.5</v>
      </c>
      <c r="K32" s="70"/>
      <c r="L32" s="42" t="s">
        <v>53</v>
      </c>
      <c r="M32" s="30">
        <v>5</v>
      </c>
      <c r="N32" s="30">
        <f>ROUND(IF(H15,1.2,1)*A24*_xlfn.SWITCH(H4,0,1,1,1.05)*(B21/100)*4/100,1)</f>
        <v>9.3</v>
      </c>
      <c r="O32" s="30">
        <f>ROUND(IF(H15,1.2,1)*A24*_xlfn.SWITCH(H4,0,1,1,1.05)*_xlfn.SWITCH(B10,0,1.25,1,1.28,2,1.31,3,1.34,4,1.37,5,1.4)*(B21/100)*5/100,1)</f>
        <v>15.6</v>
      </c>
      <c r="P32" s="30">
        <f>ROUND(B24/10*(C21/100)*0.15,1)</f>
        <v>0</v>
      </c>
      <c r="Q32" s="30">
        <f t="shared" si="9"/>
        <v>0</v>
      </c>
      <c r="R32" s="30">
        <f t="shared" si="10"/>
        <v>9.3</v>
      </c>
      <c r="S32" s="30">
        <f t="shared" si="11"/>
        <v>15.6</v>
      </c>
      <c r="T32" s="30">
        <f t="shared" si="12"/>
        <v>204.6</v>
      </c>
      <c r="U32" s="30">
        <f t="shared" si="13"/>
        <v>343.2</v>
      </c>
    </row>
    <row r="33" spans="1:21">
      <c r="A33" s="40" t="s">
        <v>56</v>
      </c>
      <c r="B33" s="41">
        <v>5</v>
      </c>
      <c r="C33" s="41">
        <f>ROUND(IF(H14,1.4,1)*IF(H16,1.3,1)*A24*_xlfn.SWITCH(H6,0,1,1,1.05)*(B21/100)*(11/100),1)</f>
        <v>29.9</v>
      </c>
      <c r="D33" s="41">
        <f>ROUND(IF(H14,1.4,1)*IF(H16,1.3,1)*A24*_xlfn.SWITCH(H6,0,1,1,1.05)*(B21/100)*_xlfn.SWITCH(B10,0,1.25,1,1.28,2,1.31,3,1.34,4,1.37,5,1.4)*(11/100),1)</f>
        <v>40.1</v>
      </c>
      <c r="E33" s="41">
        <f>ROUND(B24/10*(C21/100)*0.6,1)</f>
        <v>0</v>
      </c>
      <c r="F33" s="41">
        <f t="shared" si="4"/>
        <v>0</v>
      </c>
      <c r="G33" s="41">
        <f t="shared" si="5"/>
        <v>29.9</v>
      </c>
      <c r="H33" s="41">
        <f t="shared" si="6"/>
        <v>40.1</v>
      </c>
      <c r="I33" s="41">
        <f t="shared" si="7"/>
        <v>149.5</v>
      </c>
      <c r="J33" s="41">
        <f t="shared" si="8"/>
        <v>200.5</v>
      </c>
      <c r="K33" s="70"/>
      <c r="L33" s="40" t="s">
        <v>56</v>
      </c>
      <c r="M33" s="71">
        <v>5</v>
      </c>
      <c r="N33" s="71">
        <f>ROUND(IF(H15,1.2,1)*A24*_xlfn.SWITCH(H4,0,1,1,1.05)*(B21/100)*5/100,1)</f>
        <v>11.7</v>
      </c>
      <c r="O33" s="71">
        <f>ROUND(IF(H15,1.2,1)*A24*_xlfn.SWITCH(H4,0,1,1,1.05)*_xlfn.SWITCH(B10,0,1.25,1,1.28,2,1.31,3,1.34,4,1.37,5,1.4)*(B21/100)*5/100,1)</f>
        <v>15.6</v>
      </c>
      <c r="P33" s="71">
        <f>ROUND(B24/10*(C21/100)*0.2,1)</f>
        <v>0</v>
      </c>
      <c r="Q33" s="71">
        <f t="shared" si="9"/>
        <v>0</v>
      </c>
      <c r="R33" s="71">
        <f t="shared" si="10"/>
        <v>11.7</v>
      </c>
      <c r="S33" s="71">
        <f t="shared" si="11"/>
        <v>15.6</v>
      </c>
      <c r="T33" s="71">
        <f t="shared" si="12"/>
        <v>257.4</v>
      </c>
      <c r="U33" s="71">
        <f t="shared" si="13"/>
        <v>343.2</v>
      </c>
    </row>
    <row r="34" spans="1:21">
      <c r="A34" s="39" t="s">
        <v>59</v>
      </c>
      <c r="B34" s="30">
        <v>5</v>
      </c>
      <c r="C34" s="30">
        <f>ROUND(IF(H14,1.4,1)*IF(H16,1.3,1)*A24*_xlfn.SWITCH(H6,0,1,1,1.05)*(B21/100)*(12/100),1)</f>
        <v>32.7</v>
      </c>
      <c r="D34" s="30">
        <f>ROUND(IF(H14,1.4,1)*IF(H16,1.3,1)*A24*_xlfn.SWITCH(H6,0,1,1,1.05)*(B21/100)*_xlfn.SWITCH(B10,0,1.25,1,1.28,2,1.31,3,1.34,4,1.37,5,1.4)*(12/100),1)</f>
        <v>43.8</v>
      </c>
      <c r="E34" s="30">
        <f>ROUND(B24/10*(C21/100)*0.45,1)</f>
        <v>0</v>
      </c>
      <c r="F34" s="30">
        <f t="shared" si="4"/>
        <v>0</v>
      </c>
      <c r="G34" s="30">
        <f t="shared" si="5"/>
        <v>32.7</v>
      </c>
      <c r="H34" s="30">
        <f t="shared" si="6"/>
        <v>43.8</v>
      </c>
      <c r="I34" s="30">
        <f t="shared" si="7"/>
        <v>163.5</v>
      </c>
      <c r="J34" s="30">
        <f t="shared" si="8"/>
        <v>219</v>
      </c>
      <c r="K34" s="70"/>
      <c r="L34" s="42" t="s">
        <v>59</v>
      </c>
      <c r="M34" s="30">
        <v>5</v>
      </c>
      <c r="N34" s="30">
        <f>ROUND(IF(H15,1.2,1)*A24*_xlfn.SWITCH(H4,0,1,1,1.05)*(B21/100)*4/100,1)</f>
        <v>9.3</v>
      </c>
      <c r="O34" s="30">
        <f>ROUND(IF(H15,1.2,1)*A24*_xlfn.SWITCH(H4,0,1,1,1.05)*_xlfn.SWITCH(B10,0,1.25,1,1.28,2,1.31,3,1.34,4,1.37,5,1.4)*(B21/100)*4/100,1)</f>
        <v>12.5</v>
      </c>
      <c r="P34" s="30">
        <f>ROUND(B24/10*(C21/100)*0.15,1)</f>
        <v>0</v>
      </c>
      <c r="Q34" s="30">
        <f t="shared" si="9"/>
        <v>0</v>
      </c>
      <c r="R34" s="30">
        <f t="shared" si="10"/>
        <v>9.3</v>
      </c>
      <c r="S34" s="30">
        <f t="shared" si="11"/>
        <v>12.5</v>
      </c>
      <c r="T34" s="30">
        <f t="shared" si="12"/>
        <v>204.6</v>
      </c>
      <c r="U34" s="30">
        <f t="shared" si="13"/>
        <v>275</v>
      </c>
    </row>
    <row r="35" spans="1:21">
      <c r="A35" s="39" t="s">
        <v>62</v>
      </c>
      <c r="B35" s="30">
        <v>6</v>
      </c>
      <c r="C35" s="30">
        <f>ROUND(IF(H14,1.4,1)*IF(H16,1.3,1)*A24*_xlfn.SWITCH(H6,0,1,1,1.05)*(B21/100)*(13/100),1)</f>
        <v>35.4</v>
      </c>
      <c r="D35" s="30">
        <f>ROUND(IF(H14,1.4,1)*IF(H16,1.3,1)*A24*_xlfn.SWITCH(H6,0,1,1,1.05)*(B21/100)*_xlfn.SWITCH(B10,0,1.25,1,1.28,2,1.31,3,1.34,4,1.37,5,1.4)*(13/100),1)</f>
        <v>47.4</v>
      </c>
      <c r="E35" s="30">
        <f>ROUND(B24/10*(C21/100)*0.65,1)</f>
        <v>0</v>
      </c>
      <c r="F35" s="30">
        <f t="shared" si="4"/>
        <v>0</v>
      </c>
      <c r="G35" s="30">
        <f t="shared" si="5"/>
        <v>35.4</v>
      </c>
      <c r="H35" s="30">
        <f t="shared" si="6"/>
        <v>47.4</v>
      </c>
      <c r="I35" s="30">
        <f t="shared" si="7"/>
        <v>212.4</v>
      </c>
      <c r="J35" s="30">
        <f t="shared" si="8"/>
        <v>284.4</v>
      </c>
      <c r="K35" s="70"/>
      <c r="L35" s="42" t="s">
        <v>62</v>
      </c>
      <c r="M35" s="30">
        <v>6</v>
      </c>
      <c r="N35" s="30">
        <f>ROUND(IF(H15,1.2,1)*A24*_xlfn.SWITCH(H4,0,1,1,1.05)*(B21/100)*5/100,1)</f>
        <v>11.7</v>
      </c>
      <c r="O35" s="30">
        <f>ROUND(IF(H15,1.2,1)*A24*_xlfn.SWITCH(H4,0,1,1,1.05)*_xlfn.SWITCH(B10,0,1.25,1,1.28,2,1.31,3,1.34,4,1.37,5,1.4)*(B21/100)*5/100,1)</f>
        <v>15.6</v>
      </c>
      <c r="P35" s="30">
        <f>ROUND(B24/10*(C21/100)*0.2,1)</f>
        <v>0</v>
      </c>
      <c r="Q35" s="30">
        <f t="shared" si="9"/>
        <v>0</v>
      </c>
      <c r="R35" s="30">
        <f t="shared" si="10"/>
        <v>11.7</v>
      </c>
      <c r="S35" s="30">
        <f t="shared" si="11"/>
        <v>15.6</v>
      </c>
      <c r="T35" s="30">
        <f t="shared" si="12"/>
        <v>308.9</v>
      </c>
      <c r="U35" s="30">
        <f t="shared" si="13"/>
        <v>411.8</v>
      </c>
    </row>
    <row r="36" spans="1:21">
      <c r="A36" s="40" t="s">
        <v>65</v>
      </c>
      <c r="B36" s="41">
        <v>6</v>
      </c>
      <c r="C36" s="41">
        <f>ROUND(IF(H14,1.4,1)*IF(H16,1.3,1)*A24*_xlfn.SWITCH(H6,0,1,1,1.05)*(B21/100)*(14/100),1)</f>
        <v>38.1</v>
      </c>
      <c r="D36" s="41">
        <f>ROUND(IF(H14,1.4,1)*IF(H16,1.3,1)*A24*_xlfn.SWITCH(H6,0,1,1,1.05)*(B21/100)*_xlfn.SWITCH(B10,0,1.25,1,1.28,2,1.31,3,1.34,4,1.37,5,1.4)*(14/100),1)</f>
        <v>51.1</v>
      </c>
      <c r="E36" s="41">
        <f>ROUND(B24/10*(C21/100)*0.75,1)</f>
        <v>0</v>
      </c>
      <c r="F36" s="41">
        <f t="shared" si="4"/>
        <v>0</v>
      </c>
      <c r="G36" s="41">
        <f t="shared" si="5"/>
        <v>38.1</v>
      </c>
      <c r="H36" s="41">
        <f t="shared" si="6"/>
        <v>51.1</v>
      </c>
      <c r="I36" s="41">
        <f t="shared" si="7"/>
        <v>228.6</v>
      </c>
      <c r="J36" s="41">
        <f t="shared" si="8"/>
        <v>306.6</v>
      </c>
      <c r="K36" s="70"/>
      <c r="L36" s="40" t="s">
        <v>65</v>
      </c>
      <c r="M36" s="71">
        <v>6</v>
      </c>
      <c r="N36" s="71">
        <f>ROUND(IF(H15,1.2,1)*A24*_xlfn.SWITCH(H4,0,1,1,1.05)*(B21/100)*6/100,1)</f>
        <v>14</v>
      </c>
      <c r="O36" s="71">
        <f>ROUND(IF(H15,1.2,1)*A24*_xlfn.SWITCH(H4,0,1,1,1.05)*_xlfn.SWITCH(B10,0,1.25,1,1.28,2,1.31,3,1.34,4,1.37,5,1.4)*(B21/100)*6/100,1)</f>
        <v>18.8</v>
      </c>
      <c r="P36" s="71">
        <f>ROUND(B24/10*(C21/100)*0.25,1)</f>
        <v>0</v>
      </c>
      <c r="Q36" s="71">
        <f t="shared" si="9"/>
        <v>0</v>
      </c>
      <c r="R36" s="71">
        <f t="shared" si="10"/>
        <v>14</v>
      </c>
      <c r="S36" s="71">
        <f t="shared" si="11"/>
        <v>18.8</v>
      </c>
      <c r="T36" s="71">
        <f t="shared" si="12"/>
        <v>369.6</v>
      </c>
      <c r="U36" s="71">
        <f t="shared" si="13"/>
        <v>496.3</v>
      </c>
    </row>
    <row r="37" spans="1:21">
      <c r="A37" s="42" t="s">
        <v>77</v>
      </c>
      <c r="B37" s="30">
        <v>8</v>
      </c>
      <c r="C37" s="30">
        <f>ROUND(IF(H14,1.4,1)*IF(H16,1.3,1)*A24*_xlfn.SWITCH(H5,0,1,1,1.05)*(B21/100)*(23/100),1)</f>
        <v>65.8</v>
      </c>
      <c r="D37" s="30">
        <f>ROUND(IF(H14,1.4,1)*IF(H16,1.3,1)*A24*_xlfn.SWITCH(H5,0,1,1,1.05)*_xlfn.SWITCH(B10,0,1.25,1,1.28,2,1.31,3,1.34,4,1.37,5,1.4)*(B21/100)*(23/100),1)</f>
        <v>88.1</v>
      </c>
      <c r="E37" s="30">
        <f>ROUND(B24/10*(C21/100)*0.3,1)</f>
        <v>0</v>
      </c>
      <c r="F37" s="30">
        <f t="shared" si="4"/>
        <v>0</v>
      </c>
      <c r="G37" s="30">
        <f t="shared" si="5"/>
        <v>65.8</v>
      </c>
      <c r="H37" s="30">
        <f t="shared" si="6"/>
        <v>88.1</v>
      </c>
      <c r="I37" s="30">
        <f>G37*$B37*0.81</f>
        <v>426.384</v>
      </c>
      <c r="J37" s="30">
        <f>H37*$B37*0.81</f>
        <v>570.888</v>
      </c>
      <c r="K37" s="70"/>
      <c r="L37" s="42" t="s">
        <v>77</v>
      </c>
      <c r="M37" s="30">
        <v>12</v>
      </c>
      <c r="N37" s="30">
        <f>ROUND(A24*_xlfn.SWITCH(H5,0,1,1,1.05)*(B21/100)*(23/100),1)</f>
        <v>47</v>
      </c>
      <c r="O37" s="30">
        <f>ROUND(A24*_xlfn.SWITCH(H5,0,1,1,1.05)*_xlfn.SWITCH(B10,0,1.25,1,1.28,2,1.31,3,1.34,4,1.37,5,1.4)*(B21/100)*(23/100),1)</f>
        <v>62.9</v>
      </c>
      <c r="P37" s="30">
        <f>ROUND(B24/10*(C21/100)*0.3,1)</f>
        <v>0</v>
      </c>
      <c r="Q37" s="30">
        <f t="shared" si="9"/>
        <v>0</v>
      </c>
      <c r="R37" s="30">
        <f t="shared" si="10"/>
        <v>47</v>
      </c>
      <c r="S37" s="30">
        <f t="shared" si="11"/>
        <v>62.9</v>
      </c>
      <c r="T37" s="30">
        <f>ROUND(12*R37*0.71,1)</f>
        <v>400.4</v>
      </c>
      <c r="U37" s="30">
        <f>ROUND(12*S37*0.71,1)</f>
        <v>535.9</v>
      </c>
    </row>
    <row r="38" spans="1:21">
      <c r="A38" s="42" t="s">
        <v>81</v>
      </c>
      <c r="B38" s="30">
        <v>8</v>
      </c>
      <c r="C38" s="30">
        <f>ROUND(A24*(B21/100)*(16/100)*1.137,1)</f>
        <v>35.4</v>
      </c>
      <c r="D38" s="30">
        <f>ROUND(A24*_xlfn.SWITCH(H5,0,1,1,1.05)*_xlfn.SWITCH(B10,0,1.25,1,1.28,2,1.31,3,1.34,4,1.37,5,1.4)*(B21/100)*(16/100)*1.137,1)</f>
        <v>49.8</v>
      </c>
      <c r="E38" s="30">
        <f>ROUND(B24/10*(C21/100)*0.3,1)</f>
        <v>0</v>
      </c>
      <c r="F38" s="30">
        <f t="shared" si="4"/>
        <v>0</v>
      </c>
      <c r="G38" s="30">
        <f t="shared" si="5"/>
        <v>35.4</v>
      </c>
      <c r="H38" s="30">
        <f t="shared" si="6"/>
        <v>49.8</v>
      </c>
      <c r="I38" s="30">
        <f>G38*$B38*0.78</f>
        <v>220.896</v>
      </c>
      <c r="J38" s="30">
        <f>H38*$B38*0.78</f>
        <v>310.752</v>
      </c>
      <c r="K38" s="70"/>
      <c r="L38" s="42" t="s">
        <v>81</v>
      </c>
      <c r="M38" s="30">
        <v>8</v>
      </c>
      <c r="N38" s="30">
        <f>ROUND(A24*(B21/100)*(16/100)*1.137,1)</f>
        <v>35.4</v>
      </c>
      <c r="O38" s="30">
        <f>ROUND(A24*_xlfn.SWITCH(H5,0,1,1,1.05)*_xlfn.SWITCH(B10,0,1.25,1,1.28,2,1.31,3,1.34,4,1.37,5,1.4)*(B21/100)*(16/100)*1.137,1)</f>
        <v>49.8</v>
      </c>
      <c r="P38" s="30">
        <f>ROUND(B24/10*(C21/100)*0.3,1)</f>
        <v>0</v>
      </c>
      <c r="Q38" s="30">
        <f t="shared" si="9"/>
        <v>0</v>
      </c>
      <c r="R38" s="30">
        <f t="shared" si="10"/>
        <v>35.4</v>
      </c>
      <c r="S38" s="30">
        <f t="shared" si="11"/>
        <v>49.8</v>
      </c>
      <c r="T38" s="30">
        <f>ROUND(8*R38*0.78,1)</f>
        <v>220.9</v>
      </c>
      <c r="U38" s="30">
        <f>ROUND(8*S38*0.78,1)</f>
        <v>310.8</v>
      </c>
    </row>
    <row r="39" spans="1:11">
      <c r="A39" s="40" t="s">
        <v>67</v>
      </c>
      <c r="B39" s="41">
        <v>6</v>
      </c>
      <c r="C39" s="41">
        <f>ROUND(IF(H14,1.4,1)*IF(H16,1.3,1)*A24*_xlfn.SWITCH(H7,0,1,1,1.1,2,1.2)*(B21/100)*(23/100),1)</f>
        <v>75.1</v>
      </c>
      <c r="D39" s="41">
        <f>ROUND(IF(H14,1.4,1)*IF(H16,1.3,1)*A24*_xlfn.SWITCH(H7,0,1,1,1.1,2,1.2)*(B21/100)*_xlfn.SWITCH(B10,0,1.25,1,1.28,2,1.31,3,1.34,4,1.37,5,1.4)*(23/100),1)</f>
        <v>100.7</v>
      </c>
      <c r="E39" s="41">
        <f>ROUND(B24/10*(C21/100)*0.3,1)</f>
        <v>0</v>
      </c>
      <c r="F39" s="41">
        <f t="shared" si="4"/>
        <v>0</v>
      </c>
      <c r="G39" s="41">
        <f t="shared" si="5"/>
        <v>75.1</v>
      </c>
      <c r="H39" s="41">
        <f t="shared" si="6"/>
        <v>100.7</v>
      </c>
      <c r="I39" s="41">
        <f>G39*$B39</f>
        <v>450.6</v>
      </c>
      <c r="J39" s="41">
        <f>H39*$B39</f>
        <v>604.2</v>
      </c>
      <c r="K39" s="70"/>
    </row>
    <row r="40" spans="1:11">
      <c r="A40" s="40" t="s">
        <v>69</v>
      </c>
      <c r="B40" s="41">
        <v>6</v>
      </c>
      <c r="C40" s="41">
        <f>ROUND(IF(H14,1.4,1)*IF(H16,1.3,1)*A24*_xlfn.SWITCH(H7,0,1,1,1.1,2,1.2)*(B21/100)*(26/100/1.1),1)</f>
        <v>77.2</v>
      </c>
      <c r="D40" s="41">
        <f>ROUND(IF(H14,1.4,1)*IF(H16,1.3,1)*A24*_xlfn.SWITCH(H7,0,1,1,1.1,2,1.2)*(B21/100)*_xlfn.SWITCH(B10,0,1.25,1,1.28,2,1.31,3,1.34,4,1.37,5,1.4)*(26/100/1.1),1)</f>
        <v>103.5</v>
      </c>
      <c r="E40" s="41">
        <f>ROUND(B24/10*(C21/100)*0.3,1)</f>
        <v>0</v>
      </c>
      <c r="F40" s="41">
        <f t="shared" si="4"/>
        <v>0</v>
      </c>
      <c r="G40" s="41">
        <f t="shared" si="5"/>
        <v>77.2</v>
      </c>
      <c r="H40" s="41">
        <f t="shared" si="6"/>
        <v>103.5</v>
      </c>
      <c r="I40" s="41">
        <f>G40*$B40</f>
        <v>463.2</v>
      </c>
      <c r="J40" s="41">
        <f>H40*$B40</f>
        <v>621</v>
      </c>
      <c r="K40" s="70"/>
    </row>
    <row r="41" spans="1:11">
      <c r="A41" s="43" t="s">
        <v>70</v>
      </c>
      <c r="B41" s="30">
        <v>3</v>
      </c>
      <c r="C41" s="30">
        <f>ROUND(IF(H14,1.4,1)*IF(H16,1.3,1)*A24*_xlfn.SWITCH(H4,0,1,1,1.05)*(B21/100)*((12+IF(J10,3,0))/100)/1.1,1)</f>
        <v>29.7</v>
      </c>
      <c r="D41" s="30">
        <f>ROUND(IF(H14,1.4,1)*IF(H16,1.3,1)*A24*_xlfn.SWITCH(H4,0,1,1,1.05)*(B21/100)*_xlfn.SWITCH(B10,0,1.25,1,1.28,2,1.31,3,1.34,4,1.37,5,1.4)*((12+IF(J10,3,0))/100),1)</f>
        <v>43.8</v>
      </c>
      <c r="E41" s="30">
        <f>ROUND(B24/10*(C21/100)*0.5,1)</f>
        <v>0</v>
      </c>
      <c r="F41" s="30">
        <f t="shared" si="4"/>
        <v>0</v>
      </c>
      <c r="G41" s="30">
        <f t="shared" si="5"/>
        <v>29.7</v>
      </c>
      <c r="H41" s="30">
        <f t="shared" si="6"/>
        <v>43.8</v>
      </c>
      <c r="I41" s="30">
        <f>G41*$B41</f>
        <v>89.1</v>
      </c>
      <c r="J41" s="30">
        <f>H41*$B41</f>
        <v>131.4</v>
      </c>
      <c r="K41" s="70"/>
    </row>
    <row r="42" spans="1:11">
      <c r="A42" s="39" t="s">
        <v>74</v>
      </c>
      <c r="B42" s="30">
        <v>5</v>
      </c>
      <c r="C42" s="30">
        <f>ROUND(IF(H14,1.4,1)*IF(H16,1.3,1)*A24*_xlfn.SWITCH(H6,0,1,1,1.05)*(B21/100)*(12/100)/1.1,1)</f>
        <v>29.7</v>
      </c>
      <c r="D42" s="30">
        <f>ROUND(IF(H14,1.4,1)*IF(H16,1.3,1)*A24*_xlfn.SWITCH(H6,0,1,1,1.05)*(B21/100)*_xlfn.SWITCH(B10,0,1.25,1,1.28,2,1.31,3,1.34,4,1.37,5,1.4)*(12/100),1)</f>
        <v>43.8</v>
      </c>
      <c r="E42" s="30">
        <f>ROUND(B24/10*(C21/100)*0.6,1)</f>
        <v>0</v>
      </c>
      <c r="F42" s="30">
        <f t="shared" si="4"/>
        <v>0</v>
      </c>
      <c r="G42" s="30">
        <f t="shared" si="5"/>
        <v>29.7</v>
      </c>
      <c r="H42" s="30">
        <f t="shared" si="6"/>
        <v>43.8</v>
      </c>
      <c r="I42" s="30">
        <f>G42*$B42</f>
        <v>148.5</v>
      </c>
      <c r="J42" s="30">
        <f>H42*$B42</f>
        <v>219</v>
      </c>
      <c r="K42" s="70"/>
    </row>
    <row r="43" spans="1:11">
      <c r="A43" s="39" t="s">
        <v>76</v>
      </c>
      <c r="B43" s="30">
        <v>6</v>
      </c>
      <c r="C43" s="30">
        <f>ROUND(IF(H14,1.4,1)*IF(H16,1.3,1)*A24*_xlfn.SWITCH(H6,0,1,1,1.05)*(B21/100)*(15/100)/1.1,1)</f>
        <v>37.1</v>
      </c>
      <c r="D43" s="30">
        <f>ROUND(IF(H14,1.4,1)*IF(H16,1.3,1)*A24*_xlfn.SWITCH(H6,0,1,1,1.05)*(B21/100)*_xlfn.SWITCH(B10,0,1.25,1,1.28,2,1.31,3,1.34,4,1.37,5,1.4)*(15/100),1)</f>
        <v>54.7</v>
      </c>
      <c r="E43" s="30">
        <f>ROUND(B24/10*(C21/100)*0.75,1)</f>
        <v>0</v>
      </c>
      <c r="F43" s="30">
        <f t="shared" si="4"/>
        <v>0</v>
      </c>
      <c r="G43" s="30">
        <f t="shared" si="5"/>
        <v>37.1</v>
      </c>
      <c r="H43" s="30">
        <f t="shared" si="6"/>
        <v>54.7</v>
      </c>
      <c r="I43" s="30">
        <f>G43*$B43</f>
        <v>222.6</v>
      </c>
      <c r="J43" s="30">
        <f>H43*$B43</f>
        <v>328.2</v>
      </c>
      <c r="K43" s="70"/>
    </row>
    <row r="44" spans="11:11">
      <c r="K44" s="59"/>
    </row>
    <row r="45" customHeight="1" spans="1:21">
      <c r="A45" s="44" t="s">
        <v>98</v>
      </c>
      <c r="B45" s="24"/>
      <c r="C45" s="45" t="s">
        <v>99</v>
      </c>
      <c r="D45" s="46"/>
      <c r="E45" s="46"/>
      <c r="F45" s="46"/>
      <c r="G45" s="46"/>
      <c r="H45" s="46"/>
      <c r="I45" s="72"/>
      <c r="K45" s="59"/>
      <c r="L45" s="44" t="s">
        <v>100</v>
      </c>
      <c r="M45" s="24"/>
      <c r="N45" s="73" t="s">
        <v>101</v>
      </c>
      <c r="O45" s="46"/>
      <c r="P45" s="46"/>
      <c r="Q45" s="46"/>
      <c r="R45" s="46"/>
      <c r="S45" s="46"/>
      <c r="T45" s="46"/>
      <c r="U45" s="72"/>
    </row>
    <row r="46" spans="1:21">
      <c r="A46" s="47" t="s">
        <v>102</v>
      </c>
      <c r="B46" s="47">
        <f>ROUND(((J30+J33)*C24/100+(I30+I33)*(100-C24)/100)*0.9,1)</f>
        <v>257.9</v>
      </c>
      <c r="C46" s="48"/>
      <c r="D46" s="49"/>
      <c r="E46" s="49"/>
      <c r="F46" s="49"/>
      <c r="G46" s="49"/>
      <c r="H46" s="49"/>
      <c r="I46" s="74"/>
      <c r="J46" s="59"/>
      <c r="K46" s="59"/>
      <c r="L46" s="75" t="s">
        <v>102</v>
      </c>
      <c r="M46" s="75">
        <f>ROUND(((U30+U33)*C24/100+(T30+T33)*(100-C24)/100)*0.95*0.7,1)</f>
        <v>286</v>
      </c>
      <c r="N46" s="76"/>
      <c r="O46" s="34"/>
      <c r="P46" s="34"/>
      <c r="Q46" s="34"/>
      <c r="R46" s="34"/>
      <c r="S46" s="34"/>
      <c r="T46" s="34"/>
      <c r="U46" s="83"/>
    </row>
    <row r="47" spans="1:21">
      <c r="A47" s="47" t="s">
        <v>103</v>
      </c>
      <c r="B47" s="47">
        <f>ROUND(((J30+J33+J36)*C24/100+(I30+I33+I36)*(100-C24)/100)*0.9,1)</f>
        <v>504.3</v>
      </c>
      <c r="C47" s="50"/>
      <c r="D47" s="51"/>
      <c r="E47" s="51"/>
      <c r="F47" s="51"/>
      <c r="G47" s="51"/>
      <c r="H47" s="51"/>
      <c r="I47" s="77"/>
      <c r="J47" s="59"/>
      <c r="K47" s="59"/>
      <c r="L47" s="75" t="s">
        <v>103</v>
      </c>
      <c r="M47" s="75">
        <f>ROUND(((U30+U33+U36)*C24/100+(T30+T33+T36)*(100-C24)/100)*0.95*0.7,1)</f>
        <v>580.6</v>
      </c>
      <c r="N47" s="24"/>
      <c r="O47" s="53"/>
      <c r="P47" s="53"/>
      <c r="Q47" s="53"/>
      <c r="R47" s="53"/>
      <c r="S47" s="53"/>
      <c r="T47" s="53"/>
      <c r="U47" s="78"/>
    </row>
    <row r="48" customHeight="1" spans="1:21">
      <c r="A48" s="47" t="s">
        <v>77</v>
      </c>
      <c r="B48" s="47">
        <f>ROUND((J37*C24/100+I37*(100-C24)/100),1)</f>
        <v>510.2</v>
      </c>
      <c r="C48" s="45" t="s">
        <v>104</v>
      </c>
      <c r="D48" s="46"/>
      <c r="E48" s="46"/>
      <c r="F48" s="46"/>
      <c r="G48" s="46"/>
      <c r="H48" s="46"/>
      <c r="I48" s="72"/>
      <c r="J48" s="59"/>
      <c r="K48" s="59"/>
      <c r="L48" s="75" t="s">
        <v>77</v>
      </c>
      <c r="M48" s="75">
        <f>ROUND((U37*C24/100+T37*(100-C24)/100),1)</f>
        <v>479</v>
      </c>
      <c r="N48" s="73" t="s">
        <v>105</v>
      </c>
      <c r="O48" s="46"/>
      <c r="P48" s="46"/>
      <c r="Q48" s="46"/>
      <c r="R48" s="46"/>
      <c r="S48" s="46"/>
      <c r="T48" s="46"/>
      <c r="U48" s="72"/>
    </row>
    <row r="49" spans="1:21">
      <c r="A49" s="47" t="s">
        <v>81</v>
      </c>
      <c r="B49" s="47">
        <f>ROUND((J38*C24/100+I38*(100-C24)/100),1)</f>
        <v>273</v>
      </c>
      <c r="C49" s="52" t="s">
        <v>106</v>
      </c>
      <c r="D49" s="53"/>
      <c r="E49" s="53"/>
      <c r="F49" s="53"/>
      <c r="G49" s="53"/>
      <c r="H49" s="53"/>
      <c r="I49" s="78"/>
      <c r="J49" s="59"/>
      <c r="K49" s="59"/>
      <c r="L49" s="75" t="s">
        <v>81</v>
      </c>
      <c r="M49" s="75">
        <f>ROUND((U38*C24/100+T38*(100-C24)/100),1)</f>
        <v>273</v>
      </c>
      <c r="N49" s="24"/>
      <c r="O49" s="53"/>
      <c r="P49" s="53"/>
      <c r="Q49" s="53"/>
      <c r="R49" s="53"/>
      <c r="S49" s="53"/>
      <c r="T49" s="53"/>
      <c r="U49" s="78"/>
    </row>
    <row r="50" customHeight="1" spans="1:21">
      <c r="A50" s="47" t="s">
        <v>67</v>
      </c>
      <c r="B50" s="47">
        <f>ROUND((J39*C24/100+I39*(100-C24)/100),1)</f>
        <v>539.7</v>
      </c>
      <c r="C50" s="48"/>
      <c r="D50" s="49"/>
      <c r="E50" s="49"/>
      <c r="F50" s="49"/>
      <c r="G50" s="49"/>
      <c r="H50" s="49"/>
      <c r="I50" s="74"/>
      <c r="J50" s="59"/>
      <c r="K50" s="59"/>
      <c r="L50" s="79"/>
      <c r="M50" s="46"/>
      <c r="N50" s="73" t="s">
        <v>107</v>
      </c>
      <c r="O50" s="46"/>
      <c r="P50" s="46"/>
      <c r="Q50" s="46"/>
      <c r="R50" s="46"/>
      <c r="S50" s="46"/>
      <c r="T50" s="46"/>
      <c r="U50" s="72"/>
    </row>
    <row r="51" spans="1:21">
      <c r="A51" s="47" t="s">
        <v>69</v>
      </c>
      <c r="B51" s="47">
        <f>ROUND((J40*C24/100+I40*(100-C24)/100),1)</f>
        <v>554.7</v>
      </c>
      <c r="C51" s="50"/>
      <c r="D51" s="51"/>
      <c r="E51" s="51"/>
      <c r="F51" s="51"/>
      <c r="G51" s="51"/>
      <c r="H51" s="51"/>
      <c r="I51" s="77"/>
      <c r="J51" s="59"/>
      <c r="K51" s="59"/>
      <c r="L51" s="24"/>
      <c r="M51" s="53"/>
      <c r="N51" s="24"/>
      <c r="O51" s="53"/>
      <c r="P51" s="53"/>
      <c r="Q51" s="53"/>
      <c r="R51" s="53"/>
      <c r="S51" s="53"/>
      <c r="T51" s="53"/>
      <c r="U51" s="78"/>
    </row>
    <row r="52" customHeight="1" spans="10:21">
      <c r="J52" s="59"/>
      <c r="K52" s="80" t="s">
        <v>108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spans="11:21"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</row>
    <row r="54" spans="11:21"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</row>
    <row r="55" spans="11:21"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spans="11:21"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8" spans="1:13">
      <c r="A58" s="54" t="s">
        <v>109</v>
      </c>
      <c r="B58" s="55" t="s">
        <v>110</v>
      </c>
      <c r="C58" s="34"/>
      <c r="D58" s="56"/>
      <c r="E58" s="56"/>
      <c r="F58" s="56"/>
      <c r="G58" s="56"/>
      <c r="H58" s="56"/>
      <c r="I58" s="56"/>
      <c r="J58" s="56"/>
      <c r="K58" s="56"/>
      <c r="L58" s="56"/>
      <c r="M58" s="56"/>
    </row>
    <row r="59" spans="1:14">
      <c r="A59" s="57" t="s">
        <v>111</v>
      </c>
      <c r="B59" s="34"/>
      <c r="C59" s="34"/>
      <c r="D59" s="34"/>
      <c r="E59" s="34"/>
      <c r="F59" s="34"/>
      <c r="G59" s="34"/>
      <c r="H59" s="34"/>
      <c r="I59" s="34"/>
      <c r="J59" s="34"/>
      <c r="K59" s="81" t="s">
        <v>112</v>
      </c>
      <c r="L59" s="34"/>
      <c r="M59" s="34"/>
      <c r="N59" s="34"/>
    </row>
    <row r="60" spans="1:12">
      <c r="A60" s="58" t="s">
        <v>113</v>
      </c>
      <c r="B60" s="34"/>
      <c r="C60" s="34"/>
      <c r="D60" s="34"/>
      <c r="E60" s="59"/>
      <c r="F60" s="59"/>
      <c r="G60" s="59"/>
      <c r="H60" s="59"/>
      <c r="I60" s="59"/>
      <c r="J60" s="59"/>
      <c r="K60" s="59"/>
      <c r="L60" s="59"/>
    </row>
    <row r="61" spans="1:12">
      <c r="A61" s="34"/>
      <c r="B61" s="34"/>
      <c r="C61" s="34"/>
      <c r="D61" s="34"/>
      <c r="E61" s="59"/>
      <c r="F61" s="59"/>
      <c r="G61" s="59"/>
      <c r="H61" s="59"/>
      <c r="I61" s="59"/>
      <c r="J61" s="59"/>
      <c r="K61" s="59"/>
      <c r="L61" s="59"/>
    </row>
    <row r="63" spans="1:8">
      <c r="A63" s="3" t="s">
        <v>114</v>
      </c>
      <c r="B63" s="59" t="s">
        <v>115</v>
      </c>
      <c r="C63" s="60"/>
      <c r="D63" s="60"/>
      <c r="E63" s="60"/>
      <c r="F63" s="60"/>
      <c r="H63" s="61" t="s">
        <v>116</v>
      </c>
    </row>
    <row r="64" customHeight="1" spans="8:17">
      <c r="H64" s="62" t="s">
        <v>117</v>
      </c>
      <c r="I64" s="60"/>
      <c r="J64" s="60"/>
      <c r="K64" s="60"/>
      <c r="L64" s="60"/>
      <c r="M64" s="60"/>
      <c r="N64" s="60"/>
      <c r="O64" s="60"/>
      <c r="P64" s="60"/>
      <c r="Q64" s="60"/>
    </row>
    <row r="65" spans="8:17"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7" customHeight="1"/>
    <row r="70" spans="11:11">
      <c r="K70" s="59"/>
    </row>
    <row r="71" spans="11:11">
      <c r="K71" s="59"/>
    </row>
    <row r="72" spans="10:11">
      <c r="J72" s="59"/>
      <c r="K72" s="59"/>
    </row>
    <row r="77" customHeight="1"/>
    <row r="78" spans="11:12">
      <c r="K78" s="59"/>
      <c r="L78" s="59"/>
    </row>
    <row r="79" spans="11:12">
      <c r="K79" s="59"/>
      <c r="L79" s="59"/>
    </row>
    <row r="80" spans="11:12">
      <c r="K80" s="59"/>
      <c r="L80" s="59"/>
    </row>
    <row r="85" spans="1:12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</row>
    <row r="173" spans="1:1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</row>
    <row r="174" spans="1:1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</row>
    <row r="175" spans="1:1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</row>
    <row r="176" spans="1:1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</row>
    <row r="177" spans="1:1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</row>
    <row r="178" spans="1:1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</row>
    <row r="179" spans="1:1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</row>
    <row r="180" spans="1:1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</row>
    <row r="181" spans="1:1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</row>
    <row r="182" spans="1:1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</row>
    <row r="183" spans="1:1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</row>
    <row r="184" spans="1:1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</row>
    <row r="185" spans="1:1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</row>
    <row r="186" spans="1:1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</row>
    <row r="187" spans="1:1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</row>
    <row r="188" spans="1:1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</row>
    <row r="189" spans="1:1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</row>
    <row r="190" spans="1:1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</row>
    <row r="191" spans="1:1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</row>
    <row r="192" spans="1:1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</row>
    <row r="193" spans="1:1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</row>
    <row r="194" spans="1:1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</row>
    <row r="195" spans="1:1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</row>
    <row r="196" spans="1:1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</row>
    <row r="197" spans="1:1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</row>
    <row r="198" spans="1:1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</row>
    <row r="199" spans="1:1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</row>
    <row r="200" spans="1:1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</row>
    <row r="201" spans="1:1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</row>
    <row r="202" spans="1:1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</row>
    <row r="203" spans="1:1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</row>
    <row r="204" spans="1:1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</row>
    <row r="205" spans="1:1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</row>
    <row r="206" spans="1:1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</row>
    <row r="207" spans="1:1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</row>
    <row r="208" spans="1:1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</row>
    <row r="209" spans="1:1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</row>
    <row r="210" spans="1:1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</row>
    <row r="211" spans="1:1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</row>
    <row r="212" spans="1: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</row>
    <row r="213" spans="1:1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</row>
    <row r="214" spans="1:1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</row>
    <row r="215" spans="1:1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</row>
    <row r="216" spans="1:1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</row>
    <row r="217" spans="1:1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</row>
    <row r="218" spans="1:1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</row>
    <row r="219" spans="1:1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</row>
    <row r="220" spans="1:1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</row>
    <row r="221" spans="1:1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</row>
    <row r="222" spans="1:1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</row>
    <row r="223" spans="1:1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</row>
    <row r="224" spans="1:1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</row>
    <row r="225" spans="1:1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</row>
    <row r="226" spans="1:1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</row>
    <row r="227" spans="1:1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</row>
    <row r="228" spans="1:1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</row>
    <row r="229" spans="1:1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</row>
    <row r="230" spans="1:12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</row>
    <row r="231" spans="1:12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</row>
    <row r="232" spans="1:1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</row>
    <row r="233" spans="1:12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</row>
    <row r="234" spans="1:12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</row>
    <row r="235" spans="1:12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</row>
    <row r="236" spans="1:12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</row>
    <row r="237" spans="1:12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</row>
    <row r="238" spans="1:12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</row>
    <row r="239" spans="1:12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</row>
    <row r="240" spans="1:12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</row>
    <row r="241" spans="1:12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</row>
    <row r="242" spans="1:1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</row>
    <row r="243" spans="1:1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</row>
    <row r="244" spans="1:12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</row>
    <row r="245" spans="1:12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</row>
    <row r="246" spans="1:12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</row>
    <row r="247" spans="1:12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</row>
    <row r="248" spans="1:12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</row>
    <row r="249" spans="1:12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</row>
    <row r="250" spans="1:12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</row>
    <row r="251" spans="1:1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</row>
    <row r="252" spans="1:1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</row>
    <row r="253" spans="1:12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</row>
    <row r="254" spans="1:12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</row>
    <row r="255" spans="1:1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</row>
    <row r="256" spans="1:12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</row>
    <row r="257" spans="1:12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</row>
    <row r="258" spans="1:1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</row>
    <row r="259" spans="1:12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</row>
    <row r="260" spans="1:1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</row>
    <row r="261" spans="1:1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</row>
    <row r="262" spans="1:1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</row>
    <row r="263" spans="1:12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</row>
    <row r="264" spans="1:12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</row>
    <row r="265" spans="1:12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</row>
    <row r="266" spans="1:12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</row>
    <row r="267" spans="1:12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</row>
    <row r="268" spans="1:12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</row>
    <row r="269" spans="1:12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</row>
    <row r="270" spans="1:12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</row>
    <row r="271" spans="1:12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</row>
    <row r="272" spans="1:1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</row>
    <row r="273" spans="1:12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</row>
    <row r="274" spans="1:12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</row>
    <row r="275" spans="1:12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</row>
    <row r="276" spans="1:12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</row>
    <row r="277" spans="1:12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</row>
    <row r="278" spans="1:12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</row>
    <row r="279" spans="1:12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</row>
    <row r="280" spans="1:12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</row>
    <row r="281" spans="1:12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</row>
    <row r="282" spans="1:1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</row>
    <row r="283" spans="1:12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</row>
    <row r="284" spans="1:12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</row>
    <row r="285" spans="1:12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</row>
    <row r="286" spans="1:12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</row>
    <row r="287" spans="1:12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</row>
    <row r="288" spans="1:12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</row>
    <row r="289" spans="1:12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</row>
    <row r="290" spans="1:12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</row>
    <row r="291" spans="1:12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</row>
    <row r="292" spans="1:1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</row>
    <row r="293" spans="1:12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</row>
    <row r="294" spans="1:12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</row>
    <row r="295" spans="1:12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</row>
    <row r="296" spans="1:12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</row>
    <row r="297" spans="1:12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</row>
    <row r="298" spans="1:12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</row>
    <row r="299" spans="1:12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</row>
    <row r="300" spans="1:12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</row>
    <row r="301" spans="1:12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</row>
    <row r="302" spans="1:1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</row>
    <row r="303" spans="1:12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</row>
    <row r="304" spans="1:12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</row>
    <row r="305" spans="1:12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</row>
    <row r="306" spans="1:12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</row>
    <row r="307" spans="1:12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</row>
    <row r="308" spans="1:12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</row>
    <row r="309" spans="1:12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</row>
    <row r="310" spans="1:12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</row>
    <row r="311" spans="1:12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</row>
    <row r="312" spans="1: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</row>
    <row r="313" spans="1:12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</row>
    <row r="314" spans="1:12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</row>
    <row r="315" spans="1:12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</row>
    <row r="316" spans="1:12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</row>
    <row r="317" spans="1:12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</row>
    <row r="318" spans="1:12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</row>
    <row r="319" spans="1:12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</row>
    <row r="320" spans="1:12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</row>
    <row r="321" spans="1:12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</row>
    <row r="322" spans="1:1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</row>
    <row r="323" spans="1:12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</row>
    <row r="324" spans="1:12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</row>
    <row r="325" spans="1:12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</row>
    <row r="326" spans="1:12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</row>
    <row r="327" spans="1:12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</row>
    <row r="328" spans="1:12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</row>
    <row r="329" spans="1:12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</row>
    <row r="330" spans="1:12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</row>
    <row r="331" spans="1:12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</row>
    <row r="332" spans="1:1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</row>
    <row r="333" spans="1:12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</row>
    <row r="334" spans="1:12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</row>
    <row r="335" spans="1:12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</row>
    <row r="336" spans="1:12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</row>
    <row r="337" spans="1:12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</row>
    <row r="338" spans="1:12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</row>
    <row r="339" spans="1:12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</row>
    <row r="340" spans="1:12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</row>
    <row r="341" spans="1:12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</row>
    <row r="342" spans="1:1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</row>
    <row r="343" spans="1:12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</row>
    <row r="344" spans="1:12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</row>
    <row r="345" spans="1:12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</row>
    <row r="346" spans="1:12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</row>
    <row r="347" spans="1:12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</row>
    <row r="348" spans="1:12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</row>
    <row r="349" spans="1:12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</row>
    <row r="350" spans="1:12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</row>
    <row r="351" spans="1:12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</row>
    <row r="352" spans="1:1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</row>
    <row r="353" spans="1:12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</row>
    <row r="354" spans="1:12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</row>
    <row r="355" spans="1:12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</row>
    <row r="356" spans="1:12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</row>
    <row r="357" spans="1:12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</row>
    <row r="358" spans="1:12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</row>
    <row r="359" spans="1:12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</row>
    <row r="360" spans="1:12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</row>
    <row r="361" spans="1:12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</row>
    <row r="362" spans="1:1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</row>
    <row r="363" spans="1:12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</row>
    <row r="364" spans="1:12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</row>
    <row r="365" spans="1:12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</row>
    <row r="366" spans="1:12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</row>
    <row r="367" spans="1:12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</row>
    <row r="368" spans="1:12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</row>
    <row r="369" spans="1:12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</row>
    <row r="370" spans="1:12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</row>
    <row r="371" spans="1:12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</row>
    <row r="372" spans="1:1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</row>
    <row r="373" spans="1:12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</row>
    <row r="374" spans="1:12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</row>
    <row r="375" spans="1:12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</row>
    <row r="376" spans="1:12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</row>
    <row r="377" spans="1:12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</row>
    <row r="378" spans="1:12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</row>
    <row r="379" spans="1:12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</row>
    <row r="380" spans="1:12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</row>
    <row r="381" spans="1:12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</row>
    <row r="382" spans="1:1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</row>
    <row r="383" spans="1:12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</row>
    <row r="384" spans="1:12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</row>
    <row r="385" spans="1:12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</row>
    <row r="386" spans="1:12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</row>
    <row r="387" spans="1:12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</row>
    <row r="388" spans="1:12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</row>
    <row r="389" spans="1:12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</row>
    <row r="390" spans="1:12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</row>
    <row r="391" spans="1:12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</row>
    <row r="392" spans="1:1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</row>
    <row r="393" spans="1:12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</row>
    <row r="394" spans="1:12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</row>
    <row r="395" spans="1:12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</row>
    <row r="396" spans="1:12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</row>
    <row r="397" spans="1:12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</row>
    <row r="398" spans="1:12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</row>
    <row r="399" spans="1:12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</row>
    <row r="400" spans="1:12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</row>
    <row r="401" spans="1:12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</row>
    <row r="402" spans="1:1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</row>
    <row r="403" spans="1:12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</row>
    <row r="404" spans="1:12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</row>
    <row r="405" spans="1:12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</row>
    <row r="406" spans="1:12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</row>
    <row r="407" spans="1:12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</row>
    <row r="408" spans="1:12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</row>
    <row r="409" spans="1:12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</row>
    <row r="410" spans="1:12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</row>
    <row r="411" spans="1:12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</row>
    <row r="412" spans="1: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</row>
    <row r="413" spans="1:12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</row>
    <row r="414" spans="1:12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</row>
    <row r="415" spans="1:12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</row>
    <row r="416" spans="1:12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</row>
    <row r="417" spans="1:12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</row>
    <row r="418" spans="1:12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</row>
    <row r="419" spans="1:12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</row>
    <row r="420" spans="1:12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</row>
    <row r="421" spans="1:12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</row>
    <row r="422" spans="1:1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</row>
    <row r="423" spans="1:12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</row>
    <row r="424" spans="1:12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</row>
    <row r="425" spans="1:12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</row>
    <row r="426" spans="1:12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</row>
    <row r="427" spans="1:12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</row>
    <row r="428" spans="1:12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</row>
    <row r="429" spans="1:12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</row>
    <row r="430" spans="1:12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</row>
    <row r="431" spans="1:12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</row>
    <row r="432" spans="1:1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</row>
    <row r="433" spans="1:12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</row>
    <row r="434" spans="1:12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</row>
    <row r="435" spans="1:12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</row>
    <row r="436" spans="1:12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</row>
    <row r="437" spans="1:12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</row>
    <row r="438" spans="1:12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</row>
    <row r="439" spans="1:12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</row>
    <row r="440" spans="1:12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</row>
    <row r="441" spans="1:12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</row>
    <row r="442" spans="1:1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</row>
    <row r="443" spans="1:12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</row>
    <row r="444" spans="1:12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</row>
    <row r="445" spans="1:12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</row>
    <row r="446" spans="1:12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</row>
    <row r="447" spans="1:12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</row>
    <row r="448" spans="1:12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</row>
    <row r="449" spans="1:12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</row>
    <row r="450" spans="1:12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</row>
    <row r="451" spans="1:12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</row>
    <row r="452" spans="1:1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</row>
    <row r="453" spans="1:12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</row>
    <row r="454" spans="1:12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</row>
    <row r="455" spans="1:12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</row>
    <row r="456" spans="1:12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</row>
    <row r="457" spans="1:12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</row>
    <row r="458" spans="1:12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</row>
    <row r="459" spans="1:12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</row>
    <row r="460" spans="1:12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</row>
    <row r="461" spans="1:12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</row>
    <row r="462" spans="1:1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</row>
    <row r="463" spans="1:12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</row>
    <row r="464" spans="1:12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</row>
    <row r="465" spans="1:12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</row>
    <row r="466" spans="1:12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</row>
    <row r="467" spans="1:12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</row>
    <row r="468" spans="1:12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</row>
    <row r="469" spans="1:12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</row>
    <row r="470" spans="1:12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</row>
    <row r="471" spans="1:12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</row>
    <row r="472" spans="1:1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</row>
    <row r="473" spans="1:12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</row>
    <row r="474" spans="1:12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</row>
    <row r="475" spans="1:12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</row>
    <row r="476" spans="1:12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</row>
    <row r="477" spans="1:12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</row>
    <row r="478" spans="1:12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</row>
    <row r="479" spans="1:12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</row>
    <row r="480" spans="1:12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</row>
    <row r="481" spans="1:12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</row>
    <row r="482" spans="1:1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</row>
    <row r="483" spans="1:12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</row>
    <row r="484" spans="1:12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</row>
    <row r="485" spans="1:12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</row>
    <row r="486" spans="1:12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</row>
    <row r="487" spans="1:12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</row>
    <row r="488" spans="1:12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</row>
    <row r="489" spans="1:12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</row>
    <row r="490" spans="1:12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</row>
    <row r="491" spans="1:12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</row>
    <row r="492" spans="1:1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</row>
    <row r="493" spans="1:12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</row>
    <row r="494" spans="1:12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</row>
    <row r="495" spans="1:12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</row>
    <row r="496" spans="1:12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</row>
    <row r="497" spans="1:12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</row>
    <row r="498" spans="1:12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</row>
    <row r="499" spans="1:12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</row>
    <row r="500" spans="1:12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</row>
    <row r="501" spans="1:12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</row>
    <row r="502" spans="1:1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</row>
    <row r="503" spans="1:12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</row>
    <row r="504" spans="1:12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</row>
    <row r="505" spans="1:12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</row>
    <row r="506" spans="1:12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</row>
    <row r="507" spans="1:12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</row>
    <row r="508" spans="1:12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</row>
    <row r="509" spans="1:12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</row>
    <row r="510" spans="1:12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</row>
    <row r="511" spans="1:12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</row>
    <row r="512" spans="1: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</row>
    <row r="513" spans="1:12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</row>
    <row r="514" spans="1:12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</row>
    <row r="515" spans="1:12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</row>
    <row r="516" spans="1:12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</row>
    <row r="517" spans="1:12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</row>
    <row r="518" spans="1:12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</row>
    <row r="519" spans="1:12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</row>
    <row r="520" spans="1:12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</row>
    <row r="521" spans="1:12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</row>
    <row r="522" spans="1:1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</row>
    <row r="523" spans="1:12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</row>
    <row r="524" spans="1:12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</row>
    <row r="525" spans="1:12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</row>
    <row r="526" spans="1:12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</row>
    <row r="527" spans="1:12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</row>
    <row r="528" spans="1:12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</row>
    <row r="529" spans="1:12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</row>
    <row r="530" spans="1:12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</row>
    <row r="531" spans="1:12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</row>
    <row r="532" spans="1:1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</row>
    <row r="533" spans="1:12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</row>
    <row r="534" spans="1:12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</row>
    <row r="535" spans="1:12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</row>
    <row r="536" spans="1:12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</row>
    <row r="537" spans="1:12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</row>
    <row r="538" spans="1:12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</row>
    <row r="539" spans="1:12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</row>
    <row r="540" spans="1:12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</row>
    <row r="541" spans="1:12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</row>
    <row r="542" spans="1:1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</row>
    <row r="543" spans="1:12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</row>
    <row r="544" spans="1:12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</row>
    <row r="545" spans="1:12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</row>
    <row r="546" spans="1:12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</row>
    <row r="547" spans="1:12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</row>
    <row r="548" spans="1:12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</row>
    <row r="549" spans="1:12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</row>
    <row r="550" spans="1:12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</row>
    <row r="551" spans="1:12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</row>
    <row r="552" spans="1:1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</row>
    <row r="553" spans="1:12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</row>
    <row r="554" spans="1:12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</row>
    <row r="555" spans="1:12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</row>
    <row r="556" spans="1:12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</row>
    <row r="557" spans="1:12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</row>
    <row r="558" spans="1:12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</row>
    <row r="559" spans="1:12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</row>
    <row r="560" spans="1:12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</row>
    <row r="561" spans="1:12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</row>
    <row r="562" spans="1:1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</row>
    <row r="563" spans="1:12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</row>
    <row r="564" spans="1:12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</row>
    <row r="565" spans="1:12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</row>
    <row r="566" spans="1:12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</row>
    <row r="567" spans="1:12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</row>
    <row r="568" spans="1:12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</row>
    <row r="569" spans="1:12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</row>
    <row r="570" spans="1:12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</row>
    <row r="571" spans="1:12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</row>
    <row r="572" spans="1:1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</row>
    <row r="573" spans="1:12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</row>
    <row r="574" spans="1:12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</row>
    <row r="575" spans="1:12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</row>
    <row r="576" spans="1:12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</row>
    <row r="577" spans="1:12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</row>
    <row r="578" spans="1:12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</row>
    <row r="579" spans="1:12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</row>
  </sheetData>
  <sheetProtection algorithmName="SHA-512" hashValue="2NT1/bmyKIZWpfo8FG1XUdjfs3CT7Rm8ZvhG2QwItIawkOUpWKk3D6wohEjHHX0MlIK4M04q9lkxp9+JA2YUGg==" saltValue="MXHQXqt5B4rD8Mq6lhOGOw==" spinCount="100000" sheet="1" objects="1" scenarios="1"/>
  <mergeCells count="29">
    <mergeCell ref="L6:M6"/>
    <mergeCell ref="N6:O6"/>
    <mergeCell ref="E20:F20"/>
    <mergeCell ref="E21:F21"/>
    <mergeCell ref="E22:F22"/>
    <mergeCell ref="D24:E24"/>
    <mergeCell ref="F24:M24"/>
    <mergeCell ref="D25:E25"/>
    <mergeCell ref="F25:M25"/>
    <mergeCell ref="T26:U26"/>
    <mergeCell ref="A45:B45"/>
    <mergeCell ref="C45:I45"/>
    <mergeCell ref="L45:M45"/>
    <mergeCell ref="C48:I48"/>
    <mergeCell ref="C49:I49"/>
    <mergeCell ref="B58:C58"/>
    <mergeCell ref="A59:J59"/>
    <mergeCell ref="K59:N59"/>
    <mergeCell ref="B63:F63"/>
    <mergeCell ref="A20:A22"/>
    <mergeCell ref="B21:B22"/>
    <mergeCell ref="C21:C22"/>
    <mergeCell ref="A60:D61"/>
    <mergeCell ref="N45:U47"/>
    <mergeCell ref="H64:Q65"/>
    <mergeCell ref="N48:U49"/>
    <mergeCell ref="L50:M51"/>
    <mergeCell ref="K52:U56"/>
    <mergeCell ref="N50:U51"/>
  </mergeCells>
  <hyperlinks>
    <hyperlink ref="B58" r:id="rId1" display="MHWS 1.0 解包目录"/>
    <hyperlink ref="K59" r:id="rId2" display="https://mhwilds.kiranico.com/zh/data/monster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9"/>
  <sheetViews>
    <sheetView workbookViewId="0">
      <selection activeCell="D41" sqref="D41"/>
    </sheetView>
  </sheetViews>
  <sheetFormatPr defaultColWidth="9" defaultRowHeight="14.25"/>
  <cols>
    <col min="1" max="1" width="13.75" style="3" customWidth="1"/>
    <col min="2" max="2" width="13.625" style="3" customWidth="1"/>
    <col min="3" max="3" width="12.125" style="3" customWidth="1"/>
    <col min="4" max="5" width="10.375" style="3" customWidth="1"/>
    <col min="6" max="6" width="10.125" style="3" customWidth="1"/>
    <col min="7" max="7" width="13.25" style="3" customWidth="1"/>
    <col min="8" max="8" width="12.375" style="3" customWidth="1"/>
    <col min="9" max="9" width="11.625" style="3" customWidth="1"/>
    <col min="10" max="10" width="10.125" style="3" customWidth="1"/>
    <col min="11" max="11" width="9.125" style="3" customWidth="1"/>
    <col min="12" max="12" width="13.75" style="3" customWidth="1"/>
    <col min="13" max="13" width="12.375" style="3" customWidth="1"/>
    <col min="14" max="14" width="10" style="3" customWidth="1"/>
    <col min="15" max="15" width="10.75" style="3" customWidth="1"/>
    <col min="16" max="16" width="10.5" style="3" customWidth="1"/>
    <col min="17" max="17" width="8.75" style="3" customWidth="1"/>
    <col min="18" max="18" width="10.375" style="3" customWidth="1"/>
    <col min="19" max="19" width="8.25" style="3" customWidth="1"/>
    <col min="20" max="20" width="11.125" style="3" customWidth="1"/>
    <col min="21" max="16384" width="9" style="3" customWidth="1"/>
  </cols>
  <sheetData>
    <row r="1" spans="1:10">
      <c r="A1" s="4" t="s">
        <v>0</v>
      </c>
      <c r="B1" s="5">
        <v>230</v>
      </c>
      <c r="C1" s="6" t="s">
        <v>1</v>
      </c>
      <c r="D1" s="7">
        <v>0</v>
      </c>
      <c r="E1" s="8" t="s">
        <v>2</v>
      </c>
      <c r="F1" s="9">
        <v>5</v>
      </c>
      <c r="G1" s="10" t="s">
        <v>3</v>
      </c>
      <c r="H1" s="11">
        <v>0</v>
      </c>
      <c r="I1" s="63"/>
      <c r="J1" s="11"/>
    </row>
    <row r="2" spans="1:12">
      <c r="A2" s="12"/>
      <c r="B2" s="5"/>
      <c r="C2" s="13"/>
      <c r="D2" s="7"/>
      <c r="E2" s="14"/>
      <c r="F2" s="9"/>
      <c r="G2" s="15"/>
      <c r="H2" s="16"/>
      <c r="I2" s="15"/>
      <c r="J2" s="16"/>
      <c r="K2" s="59"/>
      <c r="L2" s="59"/>
    </row>
    <row r="3" spans="1:10">
      <c r="A3" s="4" t="s">
        <v>4</v>
      </c>
      <c r="B3" s="5"/>
      <c r="C3" s="6" t="s">
        <v>5</v>
      </c>
      <c r="D3" s="7"/>
      <c r="E3" s="8" t="s">
        <v>6</v>
      </c>
      <c r="F3" s="9"/>
      <c r="G3" s="17" t="s">
        <v>7</v>
      </c>
      <c r="H3" s="16"/>
      <c r="I3" s="17" t="s">
        <v>8</v>
      </c>
      <c r="J3" s="16"/>
    </row>
    <row r="4" spans="1:10">
      <c r="A4" s="12" t="s">
        <v>9</v>
      </c>
      <c r="B4" s="5">
        <v>0</v>
      </c>
      <c r="C4" s="13" t="s">
        <v>10</v>
      </c>
      <c r="D4" s="7">
        <v>0</v>
      </c>
      <c r="E4" s="14" t="s">
        <v>11</v>
      </c>
      <c r="F4" s="9">
        <v>0</v>
      </c>
      <c r="G4" s="15" t="s">
        <v>12</v>
      </c>
      <c r="H4" s="16">
        <v>0</v>
      </c>
      <c r="I4" s="15" t="s">
        <v>13</v>
      </c>
      <c r="J4" s="16">
        <v>0</v>
      </c>
    </row>
    <row r="5" spans="1:10">
      <c r="A5" s="12" t="s">
        <v>14</v>
      </c>
      <c r="B5" s="5">
        <v>0</v>
      </c>
      <c r="C5" s="13" t="s">
        <v>15</v>
      </c>
      <c r="D5" s="7">
        <v>0</v>
      </c>
      <c r="E5" s="14" t="s">
        <v>16</v>
      </c>
      <c r="F5" s="9">
        <v>0</v>
      </c>
      <c r="G5" s="15" t="s">
        <v>17</v>
      </c>
      <c r="H5" s="16">
        <v>0</v>
      </c>
      <c r="I5" s="15"/>
      <c r="J5" s="16"/>
    </row>
    <row r="6" spans="1:19">
      <c r="A6" s="12" t="s">
        <v>18</v>
      </c>
      <c r="B6" s="5">
        <v>0</v>
      </c>
      <c r="C6" s="13" t="s">
        <v>19</v>
      </c>
      <c r="D6" s="7">
        <v>0</v>
      </c>
      <c r="E6" s="14" t="s">
        <v>20</v>
      </c>
      <c r="F6" s="9">
        <v>0</v>
      </c>
      <c r="G6" s="15" t="s">
        <v>21</v>
      </c>
      <c r="H6" s="16">
        <v>0</v>
      </c>
      <c r="I6" s="15"/>
      <c r="J6" s="16"/>
      <c r="L6" s="64" t="s">
        <v>22</v>
      </c>
      <c r="M6" s="65"/>
      <c r="N6" s="66"/>
      <c r="O6" s="65"/>
      <c r="P6" s="37"/>
      <c r="Q6" s="37"/>
      <c r="R6" s="37"/>
      <c r="S6" s="69"/>
    </row>
    <row r="7" ht="28.5" customHeight="1" spans="1:19">
      <c r="A7" s="12" t="s">
        <v>23</v>
      </c>
      <c r="B7" s="5">
        <v>0</v>
      </c>
      <c r="C7" s="13" t="s">
        <v>24</v>
      </c>
      <c r="D7" s="7">
        <v>0</v>
      </c>
      <c r="E7" s="14" t="s">
        <v>25</v>
      </c>
      <c r="F7" s="9">
        <v>0</v>
      </c>
      <c r="G7" s="15" t="s">
        <v>26</v>
      </c>
      <c r="H7" s="16">
        <v>0</v>
      </c>
      <c r="I7" s="15"/>
      <c r="J7" s="16"/>
      <c r="L7" s="23" t="s">
        <v>27</v>
      </c>
      <c r="M7" s="38" t="s">
        <v>28</v>
      </c>
      <c r="N7" s="38" t="s">
        <v>29</v>
      </c>
      <c r="O7" s="38" t="s">
        <v>30</v>
      </c>
      <c r="P7" s="38" t="s">
        <v>31</v>
      </c>
      <c r="Q7" s="38" t="s">
        <v>32</v>
      </c>
      <c r="R7" s="38" t="s">
        <v>33</v>
      </c>
      <c r="S7" s="38" t="s">
        <v>34</v>
      </c>
    </row>
    <row r="8" spans="1:19">
      <c r="A8" s="12" t="s">
        <v>35</v>
      </c>
      <c r="B8" s="5">
        <v>0</v>
      </c>
      <c r="C8" s="13" t="s">
        <v>36</v>
      </c>
      <c r="D8" s="7">
        <v>0</v>
      </c>
      <c r="E8" s="14" t="s">
        <v>37</v>
      </c>
      <c r="F8" s="9">
        <v>0</v>
      </c>
      <c r="G8" s="15"/>
      <c r="H8" s="16"/>
      <c r="I8" s="20"/>
      <c r="J8" s="67"/>
      <c r="L8" s="39" t="s">
        <v>38</v>
      </c>
      <c r="M8" s="30">
        <v>1</v>
      </c>
      <c r="N8" s="30">
        <f>ROUND(E22/10*(C21/100)*0.2,1)</f>
        <v>0</v>
      </c>
      <c r="O8" s="30">
        <f>ROUND(E22/10*(C21/100)*0.2*_xlfn.SWITCH(D5,0,1,1,1.05,2,1.1,3,1.15),1)</f>
        <v>0</v>
      </c>
      <c r="P8" s="30">
        <f t="shared" ref="P8:P16" si="0">N8+$C28</f>
        <v>26.4</v>
      </c>
      <c r="Q8" s="30">
        <f t="shared" ref="Q8:Q16" si="1">O8+$D28</f>
        <v>33</v>
      </c>
      <c r="R8" s="30">
        <f t="shared" ref="R8:R16" si="2">P8*$B28</f>
        <v>26.4</v>
      </c>
      <c r="S8" s="30">
        <f t="shared" ref="S8:S16" si="3">Q8*$B28</f>
        <v>33</v>
      </c>
    </row>
    <row r="9" spans="1:19">
      <c r="A9" s="12" t="s">
        <v>39</v>
      </c>
      <c r="B9" s="5">
        <v>0</v>
      </c>
      <c r="C9" s="13" t="s">
        <v>40</v>
      </c>
      <c r="D9" s="7">
        <v>0</v>
      </c>
      <c r="E9" s="14"/>
      <c r="F9" s="9"/>
      <c r="G9" s="17" t="s">
        <v>41</v>
      </c>
      <c r="H9" s="16"/>
      <c r="I9" s="68" t="s">
        <v>42</v>
      </c>
      <c r="J9" s="16"/>
      <c r="L9" s="39" t="s">
        <v>43</v>
      </c>
      <c r="M9" s="30">
        <v>2</v>
      </c>
      <c r="N9" s="30">
        <f>ROUND(E22/10*(C21/100)*0.35,1)</f>
        <v>0</v>
      </c>
      <c r="O9" s="30">
        <f>ROUND(E22/10*(C21/100)*0.35*_xlfn.SWITCH(D5,0,1,1,1.05,2,1.1,3,1.15),1)</f>
        <v>0</v>
      </c>
      <c r="P9" s="30">
        <f t="shared" si="0"/>
        <v>29.3</v>
      </c>
      <c r="Q9" s="30">
        <f t="shared" si="1"/>
        <v>36.7</v>
      </c>
      <c r="R9" s="30">
        <f t="shared" si="2"/>
        <v>58.6</v>
      </c>
      <c r="S9" s="30">
        <f t="shared" si="3"/>
        <v>73.4</v>
      </c>
    </row>
    <row r="10" spans="1:19">
      <c r="A10" s="12" t="s">
        <v>44</v>
      </c>
      <c r="B10" s="5">
        <v>0</v>
      </c>
      <c r="C10" s="13"/>
      <c r="D10" s="7"/>
      <c r="E10" s="14"/>
      <c r="F10" s="9"/>
      <c r="G10" s="15" t="s">
        <v>45</v>
      </c>
      <c r="H10" s="16">
        <v>0</v>
      </c>
      <c r="I10" s="15" t="s">
        <v>46</v>
      </c>
      <c r="J10" s="16" t="b">
        <v>0</v>
      </c>
      <c r="L10" s="40" t="s">
        <v>47</v>
      </c>
      <c r="M10" s="41">
        <v>3</v>
      </c>
      <c r="N10" s="41">
        <f>ROUND(E22/10*(C21/100)*0.5,1)</f>
        <v>0</v>
      </c>
      <c r="O10" s="41">
        <f>ROUND(E22/10*(C21/100)*0.5*_xlfn.SWITCH(D5,0,1,1,1.05,2,1.1,3,1.15),1)</f>
        <v>0</v>
      </c>
      <c r="P10" s="41">
        <f t="shared" si="0"/>
        <v>32.3</v>
      </c>
      <c r="Q10" s="41">
        <f t="shared" si="1"/>
        <v>40.3</v>
      </c>
      <c r="R10" s="41">
        <f t="shared" si="2"/>
        <v>96.9</v>
      </c>
      <c r="S10" s="41">
        <f t="shared" si="3"/>
        <v>120.9</v>
      </c>
    </row>
    <row r="11" spans="1:19">
      <c r="A11" s="12" t="s">
        <v>48</v>
      </c>
      <c r="B11" s="5">
        <v>0</v>
      </c>
      <c r="C11" s="13"/>
      <c r="D11" s="7"/>
      <c r="E11" s="14"/>
      <c r="F11" s="9"/>
      <c r="G11" s="15" t="s">
        <v>49</v>
      </c>
      <c r="H11" s="16">
        <v>0</v>
      </c>
      <c r="I11" s="15" t="s">
        <v>50</v>
      </c>
      <c r="J11" s="16" t="b">
        <v>0</v>
      </c>
      <c r="L11" s="39" t="s">
        <v>51</v>
      </c>
      <c r="M11" s="30">
        <v>4</v>
      </c>
      <c r="N11" s="30">
        <f>ROUND(E22/10*(C21/100)*0.3,1)</f>
        <v>0</v>
      </c>
      <c r="O11" s="30">
        <f>ROUND(E22/10*(C21/100)*0.3*_xlfn.SWITCH(D5,0,1,1,1.05,2,1.1,3,1.15),1)</f>
        <v>0</v>
      </c>
      <c r="P11" s="30">
        <f t="shared" si="0"/>
        <v>26.4</v>
      </c>
      <c r="Q11" s="30">
        <f t="shared" si="1"/>
        <v>33</v>
      </c>
      <c r="R11" s="30">
        <f t="shared" si="2"/>
        <v>105.6</v>
      </c>
      <c r="S11" s="30">
        <f t="shared" si="3"/>
        <v>132</v>
      </c>
    </row>
    <row r="12" spans="1:19">
      <c r="A12" s="12" t="s">
        <v>52</v>
      </c>
      <c r="B12" s="5" t="b">
        <v>0</v>
      </c>
      <c r="C12" s="13"/>
      <c r="D12" s="7"/>
      <c r="E12" s="14"/>
      <c r="F12" s="9"/>
      <c r="G12" s="15"/>
      <c r="H12" s="16"/>
      <c r="I12" s="20"/>
      <c r="J12" s="67"/>
      <c r="L12" s="39" t="s">
        <v>53</v>
      </c>
      <c r="M12" s="30">
        <v>5</v>
      </c>
      <c r="N12" s="30">
        <f>ROUND(E22/10*(C21/100)*0.5,1)</f>
        <v>0</v>
      </c>
      <c r="O12" s="30">
        <f>ROUND(E22/10*(C21/100)*0.5*_xlfn.SWITCH(D5,0,1,1,1.05,2,1.1,3,1.15),1)</f>
        <v>0</v>
      </c>
      <c r="P12" s="30">
        <f t="shared" si="0"/>
        <v>29.3</v>
      </c>
      <c r="Q12" s="30">
        <f t="shared" si="1"/>
        <v>36.7</v>
      </c>
      <c r="R12" s="30">
        <f t="shared" si="2"/>
        <v>146.5</v>
      </c>
      <c r="S12" s="30">
        <f t="shared" si="3"/>
        <v>183.5</v>
      </c>
    </row>
    <row r="13" spans="1:19">
      <c r="A13" s="12" t="s">
        <v>54</v>
      </c>
      <c r="B13" s="5">
        <v>2</v>
      </c>
      <c r="C13" s="13"/>
      <c r="D13" s="7"/>
      <c r="E13" s="14"/>
      <c r="F13" s="9"/>
      <c r="G13" s="17" t="s">
        <v>55</v>
      </c>
      <c r="H13" s="16"/>
      <c r="I13" s="20"/>
      <c r="J13" s="67"/>
      <c r="L13" s="40" t="s">
        <v>56</v>
      </c>
      <c r="M13" s="41">
        <v>5</v>
      </c>
      <c r="N13" s="41">
        <f>ROUND(E22/10*(C21/100)*0.6,1)</f>
        <v>0</v>
      </c>
      <c r="O13" s="41">
        <f>ROUND(E22/10*(C21/100)*0.6*_xlfn.SWITCH(D5,0,1,1,1.05,2,1.1,3,1.15),1)</f>
        <v>0</v>
      </c>
      <c r="P13" s="41">
        <f t="shared" si="0"/>
        <v>32.3</v>
      </c>
      <c r="Q13" s="41">
        <f t="shared" si="1"/>
        <v>40.3</v>
      </c>
      <c r="R13" s="41">
        <f t="shared" si="2"/>
        <v>161.5</v>
      </c>
      <c r="S13" s="41">
        <f t="shared" si="3"/>
        <v>201.5</v>
      </c>
    </row>
    <row r="14" spans="1:19">
      <c r="A14" s="12" t="s">
        <v>57</v>
      </c>
      <c r="B14" s="5" t="b">
        <v>0</v>
      </c>
      <c r="C14" s="13"/>
      <c r="D14" s="7"/>
      <c r="E14" s="14"/>
      <c r="F14" s="9"/>
      <c r="G14" s="15" t="s">
        <v>58</v>
      </c>
      <c r="H14" s="16" t="b">
        <v>1</v>
      </c>
      <c r="I14" s="20"/>
      <c r="J14" s="67"/>
      <c r="L14" s="39" t="s">
        <v>59</v>
      </c>
      <c r="M14" s="30">
        <v>5</v>
      </c>
      <c r="N14" s="30">
        <f>ROUND(E22/10*(C21/100)*0.45,1)</f>
        <v>0</v>
      </c>
      <c r="O14" s="30">
        <f>ROUND(E22/10*(C21/100)*0.45*_xlfn.SWITCH(D5,0,1,1,1.05,2,1.1,3,1.15),1)</f>
        <v>0</v>
      </c>
      <c r="P14" s="30">
        <f t="shared" si="0"/>
        <v>35.2</v>
      </c>
      <c r="Q14" s="30">
        <f t="shared" si="1"/>
        <v>44</v>
      </c>
      <c r="R14" s="30">
        <f t="shared" si="2"/>
        <v>176</v>
      </c>
      <c r="S14" s="30">
        <f t="shared" si="3"/>
        <v>220</v>
      </c>
    </row>
    <row r="15" spans="1:19">
      <c r="A15" s="12" t="s">
        <v>60</v>
      </c>
      <c r="B15" s="5" t="b">
        <v>0</v>
      </c>
      <c r="C15" s="13"/>
      <c r="D15" s="7"/>
      <c r="E15" s="18"/>
      <c r="F15" s="19"/>
      <c r="G15" s="20" t="s">
        <v>61</v>
      </c>
      <c r="H15" s="16" t="b">
        <v>1</v>
      </c>
      <c r="I15" s="20"/>
      <c r="J15" s="67"/>
      <c r="L15" s="39" t="s">
        <v>62</v>
      </c>
      <c r="M15" s="30">
        <v>6</v>
      </c>
      <c r="N15" s="30">
        <f>ROUND(E22/10*(C21/100)*0.65,1)</f>
        <v>0</v>
      </c>
      <c r="O15" s="30">
        <f>ROUND(E22/10*(C21/100)*0.65*_xlfn.SWITCH(D5,0,1,1,1.05,2,1.1,3,1.15),1)</f>
        <v>0</v>
      </c>
      <c r="P15" s="30">
        <f t="shared" si="0"/>
        <v>38.1</v>
      </c>
      <c r="Q15" s="30">
        <f t="shared" si="1"/>
        <v>47.6</v>
      </c>
      <c r="R15" s="30">
        <f t="shared" si="2"/>
        <v>228.6</v>
      </c>
      <c r="S15" s="30">
        <f t="shared" si="3"/>
        <v>285.6</v>
      </c>
    </row>
    <row r="16" spans="1:19">
      <c r="A16" s="12" t="s">
        <v>63</v>
      </c>
      <c r="B16" s="5" t="b">
        <v>0</v>
      </c>
      <c r="C16" s="13"/>
      <c r="D16" s="7"/>
      <c r="E16" s="18"/>
      <c r="F16" s="19"/>
      <c r="G16" s="15" t="s">
        <v>64</v>
      </c>
      <c r="H16" s="16" t="b">
        <v>0</v>
      </c>
      <c r="I16" s="20"/>
      <c r="J16" s="67"/>
      <c r="L16" s="40" t="s">
        <v>65</v>
      </c>
      <c r="M16" s="41">
        <v>6</v>
      </c>
      <c r="N16" s="41">
        <f>ROUND(E22/10*(C21/100)*0.75,1)</f>
        <v>0</v>
      </c>
      <c r="O16" s="41">
        <f>ROUND(E22/10*(C21/100)*0.75*_xlfn.SWITCH(D5,0,1,1,1.05,2,1.1,3,1.15),1)</f>
        <v>0</v>
      </c>
      <c r="P16" s="41">
        <f t="shared" si="0"/>
        <v>41.1</v>
      </c>
      <c r="Q16" s="41">
        <f t="shared" si="1"/>
        <v>51.3</v>
      </c>
      <c r="R16" s="41">
        <f t="shared" si="2"/>
        <v>246.6</v>
      </c>
      <c r="S16" s="41">
        <f t="shared" si="3"/>
        <v>307.8</v>
      </c>
    </row>
    <row r="17" spans="1:19">
      <c r="A17" s="12" t="s">
        <v>66</v>
      </c>
      <c r="B17" s="5" t="b">
        <v>0</v>
      </c>
      <c r="C17" s="13"/>
      <c r="D17" s="7"/>
      <c r="E17" s="18"/>
      <c r="F17" s="19"/>
      <c r="G17" s="15"/>
      <c r="H17" s="16"/>
      <c r="I17" s="20"/>
      <c r="J17" s="67"/>
      <c r="L17" s="40" t="s">
        <v>67</v>
      </c>
      <c r="M17" s="41">
        <v>6</v>
      </c>
      <c r="N17" s="41">
        <f>ROUND(E22/10*(C21/100)*0.3,1)</f>
        <v>0</v>
      </c>
      <c r="O17" s="41">
        <f>ROUND(E22/10*(C21/100)*0.3*_xlfn.SWITCH(D5,0,1,1,1.05,2,1.1,3,1.15),1)</f>
        <v>0</v>
      </c>
      <c r="P17" s="41">
        <f>N17+$C39</f>
        <v>67.4</v>
      </c>
      <c r="Q17" s="41">
        <f>O17+$D39</f>
        <v>84.3</v>
      </c>
      <c r="R17" s="41">
        <f>P17*$B39</f>
        <v>404.4</v>
      </c>
      <c r="S17" s="41">
        <f>Q17*$B39</f>
        <v>505.8</v>
      </c>
    </row>
    <row r="18" spans="1:19">
      <c r="A18" s="12" t="s">
        <v>68</v>
      </c>
      <c r="B18" s="5" t="b">
        <v>1</v>
      </c>
      <c r="C18" s="13"/>
      <c r="D18" s="7"/>
      <c r="E18" s="18"/>
      <c r="F18" s="19"/>
      <c r="G18" s="15"/>
      <c r="H18" s="16"/>
      <c r="I18" s="20"/>
      <c r="J18" s="67"/>
      <c r="L18" s="40" t="s">
        <v>69</v>
      </c>
      <c r="M18" s="41">
        <v>6</v>
      </c>
      <c r="N18" s="41">
        <f>ROUND(E22/10*(C21/100)*0.3,1)</f>
        <v>0</v>
      </c>
      <c r="O18" s="41">
        <f>ROUND(E22/10*(C21/100)*0.3*_xlfn.SWITCH(D5,0,1,1,1.05,2,1.1,3,1.15),1)</f>
        <v>0</v>
      </c>
      <c r="P18" s="41">
        <f>N18+$C40</f>
        <v>69.3</v>
      </c>
      <c r="Q18" s="41">
        <f>O18+$D40</f>
        <v>86.6</v>
      </c>
      <c r="R18" s="41">
        <f>P18*$B40</f>
        <v>415.8</v>
      </c>
      <c r="S18" s="41">
        <f>Q18*$B40</f>
        <v>519.6</v>
      </c>
    </row>
    <row r="19" ht="15" customHeight="1" spans="12:19">
      <c r="L19" s="43" t="s">
        <v>70</v>
      </c>
      <c r="M19" s="30">
        <v>3</v>
      </c>
      <c r="N19" s="30">
        <f>ROUND(E22/10*(C21/100)*0.5,1)</f>
        <v>0</v>
      </c>
      <c r="O19" s="30">
        <f>ROUND(E22/10*(C21/100)*0.5*_xlfn.SWITCH(D5,0,1,1,1.05,2,1.1,3,1.15),1)</f>
        <v>0</v>
      </c>
      <c r="P19" s="30">
        <f>N19+$C41</f>
        <v>32</v>
      </c>
      <c r="Q19" s="30">
        <f>O19+$D41</f>
        <v>44</v>
      </c>
      <c r="R19" s="30">
        <f>P19*$B41</f>
        <v>96</v>
      </c>
      <c r="S19" s="30">
        <f>Q19*$B41</f>
        <v>132</v>
      </c>
    </row>
    <row r="20" ht="15.75" customHeight="1" spans="1:19">
      <c r="A20" s="21" t="s">
        <v>71</v>
      </c>
      <c r="B20" s="22" t="s">
        <v>72</v>
      </c>
      <c r="C20" s="22" t="s">
        <v>40</v>
      </c>
      <c r="E20" s="23" t="s">
        <v>73</v>
      </c>
      <c r="F20" s="24"/>
      <c r="L20" s="39" t="s">
        <v>74</v>
      </c>
      <c r="M20" s="30">
        <v>5</v>
      </c>
      <c r="N20" s="30">
        <f>ROUND(E22/10*(C21/100)*0.6,1)</f>
        <v>0</v>
      </c>
      <c r="O20" s="30">
        <f>ROUND(E22/10*(C21/100)*0.6*_xlfn.SWITCH(D5,0,1,1,1.05,2,1.1,3,1.15),1)</f>
        <v>0</v>
      </c>
      <c r="P20" s="30">
        <f>N20+$C42</f>
        <v>32</v>
      </c>
      <c r="Q20" s="30">
        <f>O20+$D42</f>
        <v>44</v>
      </c>
      <c r="R20" s="30">
        <f>P20*$B42</f>
        <v>160</v>
      </c>
      <c r="S20" s="30">
        <f>Q20*$B42</f>
        <v>220</v>
      </c>
    </row>
    <row r="21" ht="15" customHeight="1" spans="1:19">
      <c r="A21" s="25"/>
      <c r="B21" s="26">
        <v>88</v>
      </c>
      <c r="C21" s="26">
        <v>30</v>
      </c>
      <c r="E21" s="23" t="s">
        <v>75</v>
      </c>
      <c r="F21" s="24"/>
      <c r="G21" s="27"/>
      <c r="L21" s="39" t="s">
        <v>76</v>
      </c>
      <c r="M21" s="30">
        <v>6</v>
      </c>
      <c r="N21" s="30">
        <f>ROUND(E22/10*(C21/100)*0.75,1)</f>
        <v>0</v>
      </c>
      <c r="O21" s="30">
        <f>ROUND(E22/10*(C21/100)*0.75*_xlfn.SWITCH(D5,0,1,1,1.05,2,1.1,3,1.15),1)</f>
        <v>0</v>
      </c>
      <c r="P21" s="30">
        <f>N21+$C43</f>
        <v>40</v>
      </c>
      <c r="Q21" s="30">
        <f>O21+$D43</f>
        <v>55</v>
      </c>
      <c r="R21" s="30">
        <f>P21*$B43</f>
        <v>240</v>
      </c>
      <c r="S21" s="30">
        <f>Q21*$B43</f>
        <v>330</v>
      </c>
    </row>
    <row r="22" ht="15" customHeight="1" spans="1:19">
      <c r="A22" s="28"/>
      <c r="B22" s="29"/>
      <c r="C22" s="29"/>
      <c r="E22" s="30">
        <f t="array" ref="E22">IF(D1=0,0,D1*_xlfn.SWITCH(D4,0,1,1,1,2,1.1,3,1.2)*_xlfn.SWITCH(D8,0,1,1,1.05,2,1.1,3,1.15)+_xlfn.SWITCH(D4,0,0,1,40,2,50,3,60)+_xlfn.SWITCH(D7,0,0,1,40,2,60,3,80,4,100,5,120)+_xlfn.SWITCH(J4,0,0,1,80,2,120,3,180))</f>
        <v>0</v>
      </c>
      <c r="F22" s="24"/>
      <c r="L22" s="42" t="s">
        <v>77</v>
      </c>
      <c r="M22" s="30">
        <v>8</v>
      </c>
      <c r="N22" s="30">
        <f>ROUND(E22/10*(C21/100)*0.3,1)</f>
        <v>0</v>
      </c>
      <c r="O22" s="30">
        <f>ROUND(E22/10*(C21/100)*0.3*_xlfn.SWITCH(D5,0,1,1,1.05,2,1.1,3,1.15),1)</f>
        <v>0</v>
      </c>
      <c r="P22" s="30">
        <f>N22+$C37</f>
        <v>67.4</v>
      </c>
      <c r="Q22" s="30">
        <f>O22+$D37</f>
        <v>84.3</v>
      </c>
      <c r="R22" s="30">
        <f>P22*$B37</f>
        <v>539.2</v>
      </c>
      <c r="S22" s="30">
        <f>Q22*$B37</f>
        <v>674.4</v>
      </c>
    </row>
    <row r="23" ht="15.75" customHeight="1" spans="1:19">
      <c r="A23" s="31" t="s">
        <v>78</v>
      </c>
      <c r="B23" s="31" t="s">
        <v>79</v>
      </c>
      <c r="C23" s="31" t="s">
        <v>80</v>
      </c>
      <c r="L23" s="42" t="s">
        <v>81</v>
      </c>
      <c r="M23" s="30">
        <v>8</v>
      </c>
      <c r="N23" s="30">
        <f>ROUND(E22/10*(C21/100)*0.3,1)</f>
        <v>0</v>
      </c>
      <c r="O23" s="30">
        <f>ROUND(E22/10*(C21/100)*0.3*_xlfn.SWITCH(D5,0,1,1,1.05,2,1.1,3,1.15),1)</f>
        <v>0</v>
      </c>
      <c r="P23" s="30">
        <f>N23+$C38</f>
        <v>38.1</v>
      </c>
      <c r="Q23" s="30">
        <f>O23+$D38</f>
        <v>47.6</v>
      </c>
      <c r="R23" s="30">
        <f>P23*$B38</f>
        <v>304.8</v>
      </c>
      <c r="S23" s="30">
        <f>Q23*$B38</f>
        <v>380.8</v>
      </c>
    </row>
    <row r="24" ht="15.75" customHeight="1" spans="1:13">
      <c r="A24" s="31">
        <f>B1*ROUND(_xlfn.SWITCH(B4,0,1,1,1,2,1,3,1,4,1.02,5,1.04)*_xlfn.SWITCH(B11,0,1,1,1,2,1.05,3,1.05,4,1.1,5,1.3)*_xlfn.SWITCH(B9,0,1,1,1.05,2,1.1,3,1.15),2)*IF(B12,1.3,1)*IF(J10,1.05,1)*IF(J11,1.1,1)+_xlfn.SWITCH(B4,0,0,1,3,2,5,3,7,4,8,5,9)+_xlfn.SWITCH(B5,0,0,1,10,2,15,3,25)+_xlfn.SWITCH(B6,0,0,1,3,2,6,3,10,4,15,5,20)+_xlfn.SWITCH(B7,0,0,1,5,2,10,3,15,4,20,5,25)+B13+IF(B14,7,0)+IF(B15,10,0)+IF(B16,10,0)+IF(B17,15,0)+IF(B18,6,0)+_xlfn.SWITCH(D7,0,0,1,6,2,7,3,8,4,9,5,10)+_xlfn.SWITCH(B8,0,0,1,10,2,15,3,20,4,25,5,30)+_xlfn.SWITCH(F4,0,0,1,4,2,8,3,12,4,16,5,20)+_xlfn.SWITCH(H11,0,0,2,25,4,50)+_xlfn.SWITCH(H10,0,0,2,0,4,15)</f>
        <v>238</v>
      </c>
      <c r="B24" s="31">
        <f t="array" ref="B24">IF(D1=0,0,D1*_xlfn.SWITCH(D4,0,1,1,1,2,1.1,3,1.2)*_xlfn.SWITCH(D8,0,1,1,1.05,2,1.1,3,1.15)*_xlfn.SWITCH(D6,0,1,1,1.05,2,1.1,3,1.15)+_xlfn.SWITCH(D4,0,0,1,40,2,50,3,60)+_xlfn.SWITCH(D9,0,0,1,3,2,4,3,5)+_xlfn.SWITCH(D7,0,0,1,40,2,60,3,80,4,100,5,120))</f>
        <v>0</v>
      </c>
      <c r="C24" s="31">
        <f>F1+_xlfn.SWITCH(F4,0,0,1,3,2,5,3,7,4,10,5,15)+_xlfn.SWITCH(F5,0,0,1,4,2,8,3,12,4,16,5,20)+_xlfn.SWITCH(F6,0,0,1,5,2,10,3,15,4,20,5,30)+_xlfn.SWITCH(F7,0,0,1,10,2,20,3,30,4,40,5,50)+_xlfn.SWITCH(F8,0,0,1,3,2,6,3,10)+_xlfn.SWITCH(L4,0,0,2,15,4,15)+IF(J10,10,0)+_xlfn.SWITCH(H10,0,0,2,15,4,15)-H1</f>
        <v>5</v>
      </c>
      <c r="D24" s="31" t="s">
        <v>82</v>
      </c>
      <c r="E24" s="32"/>
      <c r="F24" s="33" t="s">
        <v>83</v>
      </c>
      <c r="G24" s="34"/>
      <c r="H24" s="34"/>
      <c r="I24" s="34"/>
      <c r="J24" s="34"/>
      <c r="K24" s="34"/>
      <c r="L24" s="34"/>
      <c r="M24" s="34"/>
    </row>
    <row r="25" ht="15.75" customHeight="1" spans="1:13">
      <c r="A25" s="31">
        <f>A24-_xlfn.SWITCH(H10,0,0,2,0,4,5)</f>
        <v>238</v>
      </c>
      <c r="B25" s="31">
        <f>B24</f>
        <v>0</v>
      </c>
      <c r="C25" s="31">
        <f>F1+_xlfn.SWITCH(F4,0,0,1,3,2,5,3,7,4,10,5,15)+_xlfn.SWITCH(F5,0,0,1,4,2,8,3,12,4,16,5,20)+_xlfn.SWITCH(F6,0,0,1,5,2,10,3,15,4,20,5,30)+_xlfn.SWITCH(F7,0,0,1,10,2,20,3,30,4,40,5,50)+_xlfn.SWITCH(F8,0,0,1,3,2,6,3,10)+_xlfn.SWITCH(L4,0,0,2,15,4,15)+IF(J10,10,0)-H1</f>
        <v>5</v>
      </c>
      <c r="D25" s="31" t="s">
        <v>84</v>
      </c>
      <c r="E25" s="32"/>
      <c r="F25" s="35" t="s">
        <v>85</v>
      </c>
      <c r="G25" s="34"/>
      <c r="H25" s="34"/>
      <c r="I25" s="34"/>
      <c r="J25" s="34"/>
      <c r="K25" s="34"/>
      <c r="L25" s="34"/>
      <c r="M25" s="34"/>
    </row>
    <row r="26" ht="15" customHeight="1" spans="1:21">
      <c r="A26" s="36" t="s">
        <v>86</v>
      </c>
      <c r="B26" s="37"/>
      <c r="C26" s="37"/>
      <c r="D26" s="37"/>
      <c r="E26" s="37"/>
      <c r="F26" s="37"/>
      <c r="G26" s="37"/>
      <c r="H26" s="37"/>
      <c r="I26" s="37"/>
      <c r="J26" s="69"/>
      <c r="K26" s="70"/>
      <c r="L26" s="36" t="s">
        <v>87</v>
      </c>
      <c r="M26" s="37"/>
      <c r="N26" s="37"/>
      <c r="O26" s="37"/>
      <c r="P26" s="37"/>
      <c r="Q26" s="37"/>
      <c r="R26" s="37"/>
      <c r="S26" s="37"/>
      <c r="T26" s="30" t="s">
        <v>88</v>
      </c>
      <c r="U26" s="24"/>
    </row>
    <row r="27" ht="42.75" customHeight="1" spans="1:21">
      <c r="A27" s="23" t="s">
        <v>27</v>
      </c>
      <c r="B27" s="38" t="s">
        <v>28</v>
      </c>
      <c r="C27" s="38" t="s">
        <v>89</v>
      </c>
      <c r="D27" s="38" t="s">
        <v>90</v>
      </c>
      <c r="E27" s="38" t="s">
        <v>91</v>
      </c>
      <c r="F27" s="38" t="s">
        <v>92</v>
      </c>
      <c r="G27" s="38" t="s">
        <v>31</v>
      </c>
      <c r="H27" s="38" t="s">
        <v>32</v>
      </c>
      <c r="I27" s="38" t="s">
        <v>33</v>
      </c>
      <c r="J27" s="38" t="s">
        <v>34</v>
      </c>
      <c r="K27" s="70"/>
      <c r="L27" s="23" t="s">
        <v>27</v>
      </c>
      <c r="M27" s="38" t="s">
        <v>28</v>
      </c>
      <c r="N27" s="38" t="s">
        <v>89</v>
      </c>
      <c r="O27" s="38" t="s">
        <v>90</v>
      </c>
      <c r="P27" s="38" t="s">
        <v>91</v>
      </c>
      <c r="Q27" s="38" t="s">
        <v>92</v>
      </c>
      <c r="R27" s="82" t="s">
        <v>93</v>
      </c>
      <c r="S27" s="82" t="s">
        <v>94</v>
      </c>
      <c r="T27" s="38" t="s">
        <v>33</v>
      </c>
      <c r="U27" s="38" t="s">
        <v>34</v>
      </c>
    </row>
    <row r="28" spans="1:21">
      <c r="A28" s="39" t="s">
        <v>38</v>
      </c>
      <c r="B28" s="30">
        <v>1</v>
      </c>
      <c r="C28" s="30">
        <f>ROUND(IF(H14,1.4,1)*IF(H16,1.3,1)*A24*_xlfn.SWITCH(H4,0,1,1,1.05)*(B21/100)*((9+IF(J10,2,0))/100),1)</f>
        <v>26.4</v>
      </c>
      <c r="D28" s="30">
        <f>ROUND(IF(H14,1.4,1)*IF(H16,1.3,1)*A24*_xlfn.SWITCH(H4,0,1,1,1.05)*(B21/100)*((9+IF(J10,2,0))/100)*_xlfn.SWITCH(B10,0,1.25,1,1.28,2,1.31,3,1.34,4,1.37,5,1.4),1)</f>
        <v>33</v>
      </c>
      <c r="E28" s="30">
        <f>ROUND(B24/10*(C21/100)*0.2,1)</f>
        <v>0</v>
      </c>
      <c r="F28" s="30">
        <f t="shared" ref="F28:F43" si="4">ROUND(E28*_xlfn.SWITCH(D5,0,1,1,1.05,2,1.1,3,1.15),1)</f>
        <v>0</v>
      </c>
      <c r="G28" s="30">
        <f t="shared" ref="G28:G43" si="5">C28+$E28</f>
        <v>26.4</v>
      </c>
      <c r="H28" s="30">
        <f t="shared" ref="H28:H43" si="6">D28+$F28</f>
        <v>33</v>
      </c>
      <c r="I28" s="30">
        <f t="shared" ref="I28:I36" si="7">G28*$B28</f>
        <v>26.4</v>
      </c>
      <c r="J28" s="30">
        <f t="shared" ref="J28:J36" si="8">H28*$B28</f>
        <v>33</v>
      </c>
      <c r="K28" s="70"/>
      <c r="L28" s="42" t="s">
        <v>95</v>
      </c>
      <c r="M28" s="30">
        <v>1</v>
      </c>
      <c r="N28" s="30">
        <f>ROUND(IF(H15,1.2,1)*A24*_xlfn.SWITCH(H4,0,1,1,1.05)*(B21/100)*3/100,1)</f>
        <v>7.5</v>
      </c>
      <c r="O28" s="30">
        <f>ROUND(IF(H15,1.2,1)*A24*_xlfn.SWITCH(H4,0,1,1,1.05)*_xlfn.SWITCH(B10,0,1.25,1,1.28,2,1.31,3,1.34,4,1.37,5,1.4)*(B21/100)*3/100,1)</f>
        <v>9.4</v>
      </c>
      <c r="P28" s="30">
        <f>ROUND(B24/10*(C21/100)*0.14,1)</f>
        <v>0</v>
      </c>
      <c r="Q28" s="30">
        <f t="shared" ref="Q28:Q38" si="9">ROUND(P28*_xlfn.SWITCH(D5,0,1,1,1.05,2,1.1,3,1.15),1)</f>
        <v>0</v>
      </c>
      <c r="R28" s="30">
        <f t="shared" ref="R28:R38" si="10">N28+$P28</f>
        <v>7.5</v>
      </c>
      <c r="S28" s="30">
        <f t="shared" ref="S28:S38" si="11">O28+$Q28</f>
        <v>9.4</v>
      </c>
      <c r="T28" s="30">
        <f t="shared" ref="T28:T36" si="12">ROUND(10*N28*M28*0.44+10*P28*M28*0.36,1)</f>
        <v>33</v>
      </c>
      <c r="U28" s="30">
        <f t="shared" ref="U28:U36" si="13">ROUND(10*O28*M28*0.44+10*Q28*M28*0.36,1)</f>
        <v>41.4</v>
      </c>
    </row>
    <row r="29" spans="1:21">
      <c r="A29" s="39" t="s">
        <v>43</v>
      </c>
      <c r="B29" s="30">
        <v>2</v>
      </c>
      <c r="C29" s="30">
        <f>ROUND(IF(H14,1.4,1)*IF(H16,1.3,1)*A24*_xlfn.SWITCH(H4,0,1,1,1.05)*(B21/100)*((10+IF(J10,2,0))/100),1)</f>
        <v>29.3</v>
      </c>
      <c r="D29" s="30">
        <f>ROUND(IF(H14,1.4,1)*IF(H16,1.3,1)*A24*_xlfn.SWITCH(H4,0,1,1,1.05)*(B21/100)*_xlfn.SWITCH(B10,0,1.25,1,1.28,2,1.31,3,1.34,4,1.37,5,1.4)*((10+IF(J10,2,0))/100),1)</f>
        <v>36.7</v>
      </c>
      <c r="E29" s="30">
        <f>ROUND(B24/10*(C21/100)*0.35,1)</f>
        <v>0</v>
      </c>
      <c r="F29" s="30">
        <f t="shared" si="4"/>
        <v>0</v>
      </c>
      <c r="G29" s="30">
        <f t="shared" si="5"/>
        <v>29.3</v>
      </c>
      <c r="H29" s="30">
        <f t="shared" si="6"/>
        <v>36.7</v>
      </c>
      <c r="I29" s="30">
        <f t="shared" si="7"/>
        <v>58.6</v>
      </c>
      <c r="J29" s="30">
        <f t="shared" si="8"/>
        <v>73.4</v>
      </c>
      <c r="K29" s="70"/>
      <c r="L29" s="42" t="s">
        <v>96</v>
      </c>
      <c r="M29" s="30">
        <v>2</v>
      </c>
      <c r="N29" s="30">
        <f>ROUND(IF(H15,1.2,1)*A24*_xlfn.SWITCH(H4,0,1,1,1.05)*(B21/100)*4/100,1)</f>
        <v>10.1</v>
      </c>
      <c r="O29" s="30">
        <f>ROUND(IF(H15,1.2,1)*A24*_xlfn.SWITCH(H4,0,1,1,1.05)*_xlfn.SWITCH(B10,0,1.25,1,1.28,2,1.31,3,1.34,4,1.37,5,1.4)*(B21/100)*4/100,1)</f>
        <v>12.6</v>
      </c>
      <c r="P29" s="30">
        <f>ROUND(B24/10*(C21/100)*0.15,1)</f>
        <v>0</v>
      </c>
      <c r="Q29" s="30">
        <f t="shared" si="9"/>
        <v>0</v>
      </c>
      <c r="R29" s="30">
        <f t="shared" si="10"/>
        <v>10.1</v>
      </c>
      <c r="S29" s="30">
        <f t="shared" si="11"/>
        <v>12.6</v>
      </c>
      <c r="T29" s="30">
        <f t="shared" si="12"/>
        <v>88.9</v>
      </c>
      <c r="U29" s="30">
        <f t="shared" si="13"/>
        <v>110.9</v>
      </c>
    </row>
    <row r="30" spans="1:21">
      <c r="A30" s="40" t="s">
        <v>47</v>
      </c>
      <c r="B30" s="41">
        <v>3</v>
      </c>
      <c r="C30" s="41">
        <f>ROUND(IF(H14,1.4,1)*IF(H16,1.3,1)*A24*_xlfn.SWITCH(H4,0,1,1,1.05)*(B21/100)*((11+IF(J10,2,0))/100),1)</f>
        <v>32.3</v>
      </c>
      <c r="D30" s="41">
        <f>ROUND(IF(H14,1.4,1)*IF(H16,1.3,1)*A24*_xlfn.SWITCH(H4,0,1,1,1.05)*(B21/100)*_xlfn.SWITCH(B10,0,1.25,1,1.28,2,1.31,3,1.34,4,1.37,5,1.4)*((11+IF(J10,2,0))/100),1)</f>
        <v>40.3</v>
      </c>
      <c r="E30" s="41">
        <f>ROUND(B24/10*(C21/100)*0.5,1)</f>
        <v>0</v>
      </c>
      <c r="F30" s="41">
        <f t="shared" si="4"/>
        <v>0</v>
      </c>
      <c r="G30" s="41">
        <f t="shared" si="5"/>
        <v>32.3</v>
      </c>
      <c r="H30" s="41">
        <f t="shared" si="6"/>
        <v>40.3</v>
      </c>
      <c r="I30" s="41">
        <f t="shared" si="7"/>
        <v>96.9</v>
      </c>
      <c r="J30" s="41">
        <f t="shared" si="8"/>
        <v>120.9</v>
      </c>
      <c r="K30" s="70"/>
      <c r="L30" s="40" t="s">
        <v>97</v>
      </c>
      <c r="M30" s="71">
        <v>2</v>
      </c>
      <c r="N30" s="71">
        <f>ROUND(IF(H15,1.2,1)*A24*_xlfn.SWITCH(H4,0,1,1,1.05)*(B21/100)*5/100,1)</f>
        <v>12.6</v>
      </c>
      <c r="O30" s="71">
        <f>ROUND(IF(H15,1.2,1)*A24*_xlfn.SWITCH(H4,0,1,1,1.05)*_xlfn.SWITCH(B10,0,1.25,1,1.28,2,1.31,3,1.34,4,1.37,5,1.4)*(B21/100)*5/100,1)</f>
        <v>15.7</v>
      </c>
      <c r="P30" s="71">
        <f>ROUND(B24/10*(C21/100)*0.2,1)</f>
        <v>0</v>
      </c>
      <c r="Q30" s="71">
        <f t="shared" si="9"/>
        <v>0</v>
      </c>
      <c r="R30" s="71">
        <f t="shared" si="10"/>
        <v>12.6</v>
      </c>
      <c r="S30" s="71">
        <f t="shared" si="11"/>
        <v>15.7</v>
      </c>
      <c r="T30" s="71">
        <f t="shared" si="12"/>
        <v>110.9</v>
      </c>
      <c r="U30" s="71">
        <f t="shared" si="13"/>
        <v>138.2</v>
      </c>
    </row>
    <row r="31" spans="1:21">
      <c r="A31" s="39" t="s">
        <v>51</v>
      </c>
      <c r="B31" s="30">
        <v>4</v>
      </c>
      <c r="C31" s="30">
        <f>ROUND(IF(H14,1.4,1)*IF(H16,1.3,1)*A24*_xlfn.SWITCH(H6,0,1,1,1.05)*(B21/100)*(9/100),1)</f>
        <v>26.4</v>
      </c>
      <c r="D31" s="30">
        <f>ROUND(IF(H14,1.4,1)*IF(H16,1.3,1)*A24*_xlfn.SWITCH(H6,0,1,1,1.05)*(B21/100)*_xlfn.SWITCH(B10,0,1.25,1,1.28,2,1.31,3,1.34,4,1.37,5,1.4)*(9/100),1)</f>
        <v>33</v>
      </c>
      <c r="E31" s="30">
        <f>ROUND(B24/10*(C21/100)*0.3,1)</f>
        <v>0</v>
      </c>
      <c r="F31" s="30">
        <f t="shared" si="4"/>
        <v>0</v>
      </c>
      <c r="G31" s="30">
        <f t="shared" si="5"/>
        <v>26.4</v>
      </c>
      <c r="H31" s="30">
        <f t="shared" si="6"/>
        <v>33</v>
      </c>
      <c r="I31" s="30">
        <f t="shared" si="7"/>
        <v>105.6</v>
      </c>
      <c r="J31" s="30">
        <f t="shared" si="8"/>
        <v>132</v>
      </c>
      <c r="K31" s="70"/>
      <c r="L31" s="42" t="s">
        <v>51</v>
      </c>
      <c r="M31" s="30">
        <v>4</v>
      </c>
      <c r="N31" s="30">
        <f>ROUND(IF(H15,1.2,1)*A24*_xlfn.SWITCH(H4,0,1,1,1.05)*(B21/100)*3/100,1)</f>
        <v>7.5</v>
      </c>
      <c r="O31" s="30">
        <f>ROUND(IF(H15,1.2,1)*A24*_xlfn.SWITCH(H4,0,1,1,1.05)*_xlfn.SWITCH(B10,0,1.25,1,1.28,2,1.31,3,1.34,4,1.37,5,1.4)*(B21/100)*4/100,1)</f>
        <v>12.6</v>
      </c>
      <c r="P31" s="30">
        <f>ROUND(B24/10*(C21/100)*0.14,1)</f>
        <v>0</v>
      </c>
      <c r="Q31" s="30">
        <f t="shared" si="9"/>
        <v>0</v>
      </c>
      <c r="R31" s="30">
        <f t="shared" si="10"/>
        <v>7.5</v>
      </c>
      <c r="S31" s="30">
        <f t="shared" si="11"/>
        <v>12.6</v>
      </c>
      <c r="T31" s="30">
        <f t="shared" si="12"/>
        <v>132</v>
      </c>
      <c r="U31" s="30">
        <f t="shared" si="13"/>
        <v>221.8</v>
      </c>
    </row>
    <row r="32" spans="1:21">
      <c r="A32" s="39" t="s">
        <v>53</v>
      </c>
      <c r="B32" s="30">
        <v>5</v>
      </c>
      <c r="C32" s="30">
        <f>ROUND(IF(H14,1.4,1)*IF(H16,1.3,1)*A24*_xlfn.SWITCH(H6,0,1,1,1.05)*(B21/100)*(10/100),1)</f>
        <v>29.3</v>
      </c>
      <c r="D32" s="30">
        <f>ROUND(IF(H14,1.4,1)*IF(H16,1.3,1)*A24*_xlfn.SWITCH(H6,0,1,1,1.05)*(B21/100)*_xlfn.SWITCH(B10,0,1.25,1,1.28,2,1.31,3,1.34,4,1.37,5,1.4)*(10/100),1)</f>
        <v>36.7</v>
      </c>
      <c r="E32" s="30">
        <f>ROUND(B24/10*(C21/100)*0.5,1)</f>
        <v>0</v>
      </c>
      <c r="F32" s="30">
        <f t="shared" si="4"/>
        <v>0</v>
      </c>
      <c r="G32" s="30">
        <f t="shared" si="5"/>
        <v>29.3</v>
      </c>
      <c r="H32" s="30">
        <f t="shared" si="6"/>
        <v>36.7</v>
      </c>
      <c r="I32" s="30">
        <f t="shared" si="7"/>
        <v>146.5</v>
      </c>
      <c r="J32" s="30">
        <f t="shared" si="8"/>
        <v>183.5</v>
      </c>
      <c r="K32" s="70"/>
      <c r="L32" s="42" t="s">
        <v>53</v>
      </c>
      <c r="M32" s="30">
        <v>5</v>
      </c>
      <c r="N32" s="30">
        <f>ROUND(IF(H15,1.2,1)*A24*_xlfn.SWITCH(H4,0,1,1,1.05)*(B21/100)*4/100,1)</f>
        <v>10.1</v>
      </c>
      <c r="O32" s="30">
        <f>ROUND(IF(H15,1.2,1)*A24*_xlfn.SWITCH(H4,0,1,1,1.05)*_xlfn.SWITCH(B10,0,1.25,1,1.28,2,1.31,3,1.34,4,1.37,5,1.4)*(B21/100)*5/100,1)</f>
        <v>15.7</v>
      </c>
      <c r="P32" s="30">
        <f>ROUND(B24/10*(C21/100)*0.15,1)</f>
        <v>0</v>
      </c>
      <c r="Q32" s="30">
        <f t="shared" si="9"/>
        <v>0</v>
      </c>
      <c r="R32" s="30">
        <f t="shared" si="10"/>
        <v>10.1</v>
      </c>
      <c r="S32" s="30">
        <f t="shared" si="11"/>
        <v>15.7</v>
      </c>
      <c r="T32" s="30">
        <f t="shared" si="12"/>
        <v>222.2</v>
      </c>
      <c r="U32" s="30">
        <f t="shared" si="13"/>
        <v>345.4</v>
      </c>
    </row>
    <row r="33" spans="1:21">
      <c r="A33" s="40" t="s">
        <v>56</v>
      </c>
      <c r="B33" s="41">
        <v>5</v>
      </c>
      <c r="C33" s="41">
        <f>ROUND(IF(H14,1.4,1)*IF(H16,1.3,1)*A24*_xlfn.SWITCH(H6,0,1,1,1.05)*(B21/100)*(11/100),1)</f>
        <v>32.3</v>
      </c>
      <c r="D33" s="41">
        <f>ROUND(IF(H14,1.4,1)*IF(H16,1.3,1)*A24*_xlfn.SWITCH(H6,0,1,1,1.05)*(B21/100)*_xlfn.SWITCH(B10,0,1.25,1,1.28,2,1.31,3,1.34,4,1.37,5,1.4)*(11/100),1)</f>
        <v>40.3</v>
      </c>
      <c r="E33" s="41">
        <f>ROUND(B24/10*(C21/100)*0.6,1)</f>
        <v>0</v>
      </c>
      <c r="F33" s="41">
        <f t="shared" si="4"/>
        <v>0</v>
      </c>
      <c r="G33" s="41">
        <f t="shared" si="5"/>
        <v>32.3</v>
      </c>
      <c r="H33" s="41">
        <f t="shared" si="6"/>
        <v>40.3</v>
      </c>
      <c r="I33" s="41">
        <f t="shared" si="7"/>
        <v>161.5</v>
      </c>
      <c r="J33" s="41">
        <f t="shared" si="8"/>
        <v>201.5</v>
      </c>
      <c r="K33" s="70"/>
      <c r="L33" s="40" t="s">
        <v>56</v>
      </c>
      <c r="M33" s="71">
        <v>5</v>
      </c>
      <c r="N33" s="71">
        <f>ROUND(IF(H15,1.2,1)*A24*_xlfn.SWITCH(H4,0,1,1,1.05)*(B21/100)*5/100,1)</f>
        <v>12.6</v>
      </c>
      <c r="O33" s="71">
        <f>ROUND(IF(H15,1.2,1)*A24*_xlfn.SWITCH(H4,0,1,1,1.05)*_xlfn.SWITCH(B10,0,1.25,1,1.28,2,1.31,3,1.34,4,1.37,5,1.4)*(B21/100)*5/100,1)</f>
        <v>15.7</v>
      </c>
      <c r="P33" s="71">
        <f>ROUND(B24/10*(C21/100)*0.2,1)</f>
        <v>0</v>
      </c>
      <c r="Q33" s="71">
        <f t="shared" si="9"/>
        <v>0</v>
      </c>
      <c r="R33" s="71">
        <f t="shared" si="10"/>
        <v>12.6</v>
      </c>
      <c r="S33" s="71">
        <f t="shared" si="11"/>
        <v>15.7</v>
      </c>
      <c r="T33" s="71">
        <f t="shared" si="12"/>
        <v>277.2</v>
      </c>
      <c r="U33" s="71">
        <f t="shared" si="13"/>
        <v>345.4</v>
      </c>
    </row>
    <row r="34" spans="1:21">
      <c r="A34" s="39" t="s">
        <v>59</v>
      </c>
      <c r="B34" s="30">
        <v>5</v>
      </c>
      <c r="C34" s="30">
        <f>ROUND(IF(H14,1.4,1)*IF(H16,1.3,1)*A24*_xlfn.SWITCH(H6,0,1,1,1.05)*(B21/100)*(12/100),1)</f>
        <v>35.2</v>
      </c>
      <c r="D34" s="30">
        <f>ROUND(IF(H14,1.4,1)*IF(H16,1.3,1)*A24*_xlfn.SWITCH(H6,0,1,1,1.05)*(B21/100)*_xlfn.SWITCH(B10,0,1.25,1,1.28,2,1.31,3,1.34,4,1.37,5,1.4)*(12/100),1)</f>
        <v>44</v>
      </c>
      <c r="E34" s="30">
        <f>ROUND(B24/10*(C21/100)*0.45,1)</f>
        <v>0</v>
      </c>
      <c r="F34" s="30">
        <f t="shared" si="4"/>
        <v>0</v>
      </c>
      <c r="G34" s="30">
        <f t="shared" si="5"/>
        <v>35.2</v>
      </c>
      <c r="H34" s="30">
        <f t="shared" si="6"/>
        <v>44</v>
      </c>
      <c r="I34" s="30">
        <f t="shared" si="7"/>
        <v>176</v>
      </c>
      <c r="J34" s="30">
        <f t="shared" si="8"/>
        <v>220</v>
      </c>
      <c r="K34" s="70"/>
      <c r="L34" s="42" t="s">
        <v>59</v>
      </c>
      <c r="M34" s="30">
        <v>5</v>
      </c>
      <c r="N34" s="30">
        <f>ROUND(IF(H15,1.2,1)*A24*_xlfn.SWITCH(H4,0,1,1,1.05)*(B21/100)*4/100,1)</f>
        <v>10.1</v>
      </c>
      <c r="O34" s="30">
        <f>ROUND(IF(H15,1.2,1)*A24*_xlfn.SWITCH(H4,0,1,1,1.05)*_xlfn.SWITCH(B10,0,1.25,1,1.28,2,1.31,3,1.34,4,1.37,5,1.4)*(B21/100)*4/100,1)</f>
        <v>12.6</v>
      </c>
      <c r="P34" s="30">
        <f>ROUND(B24/10*(C21/100)*0.15,1)</f>
        <v>0</v>
      </c>
      <c r="Q34" s="30">
        <f t="shared" si="9"/>
        <v>0</v>
      </c>
      <c r="R34" s="30">
        <f t="shared" si="10"/>
        <v>10.1</v>
      </c>
      <c r="S34" s="30">
        <f t="shared" si="11"/>
        <v>12.6</v>
      </c>
      <c r="T34" s="30">
        <f t="shared" si="12"/>
        <v>222.2</v>
      </c>
      <c r="U34" s="30">
        <f t="shared" si="13"/>
        <v>277.2</v>
      </c>
    </row>
    <row r="35" spans="1:21">
      <c r="A35" s="39" t="s">
        <v>62</v>
      </c>
      <c r="B35" s="30">
        <v>6</v>
      </c>
      <c r="C35" s="30">
        <f>ROUND(IF(H14,1.4,1)*IF(H16,1.3,1)*A24*_xlfn.SWITCH(H6,0,1,1,1.05)*(B21/100)*(13/100),1)</f>
        <v>38.1</v>
      </c>
      <c r="D35" s="30">
        <f>ROUND(IF(H14,1.4,1)*IF(H16,1.3,1)*A24*_xlfn.SWITCH(H6,0,1,1,1.05)*(B21/100)*_xlfn.SWITCH(B10,0,1.25,1,1.28,2,1.31,3,1.34,4,1.37,5,1.4)*(13/100),1)</f>
        <v>47.6</v>
      </c>
      <c r="E35" s="30">
        <f>ROUND(B24/10*(C21/100)*0.65,1)</f>
        <v>0</v>
      </c>
      <c r="F35" s="30">
        <f t="shared" si="4"/>
        <v>0</v>
      </c>
      <c r="G35" s="30">
        <f t="shared" si="5"/>
        <v>38.1</v>
      </c>
      <c r="H35" s="30">
        <f t="shared" si="6"/>
        <v>47.6</v>
      </c>
      <c r="I35" s="30">
        <f t="shared" si="7"/>
        <v>228.6</v>
      </c>
      <c r="J35" s="30">
        <f t="shared" si="8"/>
        <v>285.6</v>
      </c>
      <c r="K35" s="70"/>
      <c r="L35" s="42" t="s">
        <v>62</v>
      </c>
      <c r="M35" s="30">
        <v>6</v>
      </c>
      <c r="N35" s="30">
        <f>ROUND(IF(H15,1.2,1)*A24*_xlfn.SWITCH(H4,0,1,1,1.05)*(B21/100)*5/100,1)</f>
        <v>12.6</v>
      </c>
      <c r="O35" s="30">
        <f>ROUND(IF(H15,1.2,1)*A24*_xlfn.SWITCH(H4,0,1,1,1.05)*_xlfn.SWITCH(B10,0,1.25,1,1.28,2,1.31,3,1.34,4,1.37,5,1.4)*(B21/100)*5/100,1)</f>
        <v>15.7</v>
      </c>
      <c r="P35" s="30">
        <f>ROUND(B24/10*(C21/100)*0.2,1)</f>
        <v>0</v>
      </c>
      <c r="Q35" s="30">
        <f t="shared" si="9"/>
        <v>0</v>
      </c>
      <c r="R35" s="30">
        <f t="shared" si="10"/>
        <v>12.6</v>
      </c>
      <c r="S35" s="30">
        <f t="shared" si="11"/>
        <v>15.7</v>
      </c>
      <c r="T35" s="30">
        <f t="shared" si="12"/>
        <v>332.6</v>
      </c>
      <c r="U35" s="30">
        <f t="shared" si="13"/>
        <v>414.5</v>
      </c>
    </row>
    <row r="36" spans="1:21">
      <c r="A36" s="40" t="s">
        <v>65</v>
      </c>
      <c r="B36" s="41">
        <v>6</v>
      </c>
      <c r="C36" s="41">
        <f>ROUND(IF(H14,1.4,1)*IF(H16,1.3,1)*A24*_xlfn.SWITCH(H6,0,1,1,1.05)*(B21/100)*(14/100),1)</f>
        <v>41.1</v>
      </c>
      <c r="D36" s="41">
        <f>ROUND(IF(H14,1.4,1)*IF(H16,1.3,1)*A24*_xlfn.SWITCH(H6,0,1,1,1.05)*(B21/100)*_xlfn.SWITCH(B10,0,1.25,1,1.28,2,1.31,3,1.34,4,1.37,5,1.4)*(14/100),1)</f>
        <v>51.3</v>
      </c>
      <c r="E36" s="41">
        <f>ROUND(B24/10*(C21/100)*0.75,1)</f>
        <v>0</v>
      </c>
      <c r="F36" s="41">
        <f t="shared" si="4"/>
        <v>0</v>
      </c>
      <c r="G36" s="41">
        <f t="shared" si="5"/>
        <v>41.1</v>
      </c>
      <c r="H36" s="41">
        <f t="shared" si="6"/>
        <v>51.3</v>
      </c>
      <c r="I36" s="41">
        <f t="shared" si="7"/>
        <v>246.6</v>
      </c>
      <c r="J36" s="41">
        <f t="shared" si="8"/>
        <v>307.8</v>
      </c>
      <c r="K36" s="70"/>
      <c r="L36" s="40" t="s">
        <v>65</v>
      </c>
      <c r="M36" s="71">
        <v>6</v>
      </c>
      <c r="N36" s="71">
        <f>ROUND(IF(H15,1.2,1)*A24*_xlfn.SWITCH(H4,0,1,1,1.05)*(B21/100)*6/100,1)</f>
        <v>15.1</v>
      </c>
      <c r="O36" s="71">
        <f>ROUND(IF(H15,1.2,1)*A24*_xlfn.SWITCH(H4,0,1,1,1.05)*_xlfn.SWITCH(B10,0,1.25,1,1.28,2,1.31,3,1.34,4,1.37,5,1.4)*(B21/100)*6/100,1)</f>
        <v>18.8</v>
      </c>
      <c r="P36" s="71">
        <f>ROUND(B24/10*(C21/100)*0.25,1)</f>
        <v>0</v>
      </c>
      <c r="Q36" s="71">
        <f t="shared" si="9"/>
        <v>0</v>
      </c>
      <c r="R36" s="71">
        <f t="shared" si="10"/>
        <v>15.1</v>
      </c>
      <c r="S36" s="71">
        <f t="shared" si="11"/>
        <v>18.8</v>
      </c>
      <c r="T36" s="71">
        <f t="shared" si="12"/>
        <v>398.6</v>
      </c>
      <c r="U36" s="71">
        <f t="shared" si="13"/>
        <v>496.3</v>
      </c>
    </row>
    <row r="37" spans="1:21">
      <c r="A37" s="42" t="s">
        <v>77</v>
      </c>
      <c r="B37" s="30">
        <v>8</v>
      </c>
      <c r="C37" s="30">
        <f>ROUND(IF(H14,1.4,1)*IF(H16,1.3,1)*A24*_xlfn.SWITCH(H5,0,1,1,1.05)*(B21/100)*(23/100),1)</f>
        <v>67.4</v>
      </c>
      <c r="D37" s="30">
        <f>ROUND(IF(H14,1.4,1)*IF(H16,1.3,1)*A24*_xlfn.SWITCH(H5,0,1,1,1.05)*_xlfn.SWITCH(B10,0,1.25,1,1.28,2,1.31,3,1.34,4,1.37,5,1.4)*(B21/100)*(23/100),1)</f>
        <v>84.3</v>
      </c>
      <c r="E37" s="30">
        <f>ROUND(B24/10*(C21/100)*0.3,1)</f>
        <v>0</v>
      </c>
      <c r="F37" s="30">
        <f t="shared" si="4"/>
        <v>0</v>
      </c>
      <c r="G37" s="30">
        <f t="shared" si="5"/>
        <v>67.4</v>
      </c>
      <c r="H37" s="30">
        <f t="shared" si="6"/>
        <v>84.3</v>
      </c>
      <c r="I37" s="30">
        <f>G37*$B37*0.81</f>
        <v>436.752</v>
      </c>
      <c r="J37" s="30">
        <f>H37*$B37*0.81</f>
        <v>546.264</v>
      </c>
      <c r="K37" s="70"/>
      <c r="L37" s="42" t="s">
        <v>77</v>
      </c>
      <c r="M37" s="30">
        <v>12</v>
      </c>
      <c r="N37" s="30">
        <f>ROUND(A24*_xlfn.SWITCH(H5,0,1,1,1.05)*(B21/100)*(23/100),1)</f>
        <v>48.2</v>
      </c>
      <c r="O37" s="30">
        <f>ROUND(A24*_xlfn.SWITCH(H5,0,1,1,1.05)*_xlfn.SWITCH(B10,0,1.25,1,1.28,2,1.31,3,1.34,4,1.37,5,1.4)*(B21/100)*(23/100),1)</f>
        <v>60.2</v>
      </c>
      <c r="P37" s="30">
        <f>ROUND(B24/10*(C21/100)*0.3,1)</f>
        <v>0</v>
      </c>
      <c r="Q37" s="30">
        <f t="shared" si="9"/>
        <v>0</v>
      </c>
      <c r="R37" s="30">
        <f t="shared" si="10"/>
        <v>48.2</v>
      </c>
      <c r="S37" s="30">
        <f t="shared" si="11"/>
        <v>60.2</v>
      </c>
      <c r="T37" s="30">
        <f>ROUND(12*R37*0.71,1)</f>
        <v>410.7</v>
      </c>
      <c r="U37" s="30">
        <f>ROUND(12*S37*0.71,1)</f>
        <v>512.9</v>
      </c>
    </row>
    <row r="38" spans="1:21">
      <c r="A38" s="42" t="s">
        <v>81</v>
      </c>
      <c r="B38" s="30">
        <v>8</v>
      </c>
      <c r="C38" s="30">
        <f>ROUND(A24*(B21/100)*(16/100)*1.137,1)</f>
        <v>38.1</v>
      </c>
      <c r="D38" s="30">
        <f>ROUND(A24*_xlfn.SWITCH(H5,0,1,1,1.05)*_xlfn.SWITCH(B10,0,1.25,1,1.28,2,1.31,3,1.34,4,1.37,5,1.4)*(B21/100)*(16/100)*1.137,1)</f>
        <v>47.6</v>
      </c>
      <c r="E38" s="30">
        <f>ROUND(B24/10*(C21/100)*0.3,1)</f>
        <v>0</v>
      </c>
      <c r="F38" s="30">
        <f t="shared" si="4"/>
        <v>0</v>
      </c>
      <c r="G38" s="30">
        <f t="shared" si="5"/>
        <v>38.1</v>
      </c>
      <c r="H38" s="30">
        <f t="shared" si="6"/>
        <v>47.6</v>
      </c>
      <c r="I38" s="30">
        <f>G38*$B38*0.78</f>
        <v>237.744</v>
      </c>
      <c r="J38" s="30">
        <f>H38*$B38*0.78</f>
        <v>297.024</v>
      </c>
      <c r="K38" s="70"/>
      <c r="L38" s="42" t="s">
        <v>81</v>
      </c>
      <c r="M38" s="30">
        <v>8</v>
      </c>
      <c r="N38" s="30">
        <f>ROUND(A24*(B21/100)*(16/100)*1.137,1)</f>
        <v>38.1</v>
      </c>
      <c r="O38" s="30">
        <f>ROUND(A24*_xlfn.SWITCH(H5,0,1,1,1.05)*_xlfn.SWITCH(B10,0,1.25,1,1.28,2,1.31,3,1.34,4,1.37,5,1.4)*(B21/100)*(16/100)*1.137,1)</f>
        <v>47.6</v>
      </c>
      <c r="P38" s="30">
        <f>ROUND(B24/10*(C21/100)*0.3,1)</f>
        <v>0</v>
      </c>
      <c r="Q38" s="30">
        <f t="shared" si="9"/>
        <v>0</v>
      </c>
      <c r="R38" s="30">
        <f t="shared" si="10"/>
        <v>38.1</v>
      </c>
      <c r="S38" s="30">
        <f t="shared" si="11"/>
        <v>47.6</v>
      </c>
      <c r="T38" s="30">
        <f>ROUND(8*R38*0.78,1)</f>
        <v>237.7</v>
      </c>
      <c r="U38" s="30">
        <f>ROUND(8*S38*0.78,1)</f>
        <v>297</v>
      </c>
    </row>
    <row r="39" spans="1:11">
      <c r="A39" s="40" t="s">
        <v>67</v>
      </c>
      <c r="B39" s="41">
        <v>6</v>
      </c>
      <c r="C39" s="41">
        <f>ROUND(IF(H14,1.4,1)*IF(H16,1.3,1)*A24*_xlfn.SWITCH(H7,0,1,1,1.1,2,1.2)*(B21/100)*(23/100),1)</f>
        <v>67.4</v>
      </c>
      <c r="D39" s="41">
        <f>ROUND(IF(H14,1.4,1)*IF(H16,1.3,1)*A24*_xlfn.SWITCH(H7,0,1,1,1.1,2,1.2)*(B21/100)*_xlfn.SWITCH(B10,0,1.25,1,1.28,2,1.31,3,1.34,4,1.37,5,1.4)*(23/100),1)</f>
        <v>84.3</v>
      </c>
      <c r="E39" s="41">
        <f>ROUND(B24/10*(C21/100)*0.3,1)</f>
        <v>0</v>
      </c>
      <c r="F39" s="41">
        <f t="shared" si="4"/>
        <v>0</v>
      </c>
      <c r="G39" s="41">
        <f t="shared" si="5"/>
        <v>67.4</v>
      </c>
      <c r="H39" s="41">
        <f t="shared" si="6"/>
        <v>84.3</v>
      </c>
      <c r="I39" s="41">
        <f>G39*$B39</f>
        <v>404.4</v>
      </c>
      <c r="J39" s="41">
        <f>H39*$B39</f>
        <v>505.8</v>
      </c>
      <c r="K39" s="70"/>
    </row>
    <row r="40" spans="1:11">
      <c r="A40" s="40" t="s">
        <v>69</v>
      </c>
      <c r="B40" s="41">
        <v>6</v>
      </c>
      <c r="C40" s="41">
        <f>ROUND(IF(H14,1.4,1)*IF(H16,1.3,1)*A24*_xlfn.SWITCH(H7,0,1,1,1.1,2,1.2)*(B21/100)*(26/100/1.1),1)</f>
        <v>69.3</v>
      </c>
      <c r="D40" s="41">
        <f>ROUND(IF(H14,1.4,1)*IF(H16,1.3,1)*A24*_xlfn.SWITCH(H7,0,1,1,1.1,2,1.2)*(B21/100)*_xlfn.SWITCH(B10,0,1.25,1,1.28,2,1.31,3,1.34,4,1.37,5,1.4)*(26/100/1.1),1)</f>
        <v>86.6</v>
      </c>
      <c r="E40" s="41">
        <f>ROUND(B24/10*(C21/100)*0.3,1)</f>
        <v>0</v>
      </c>
      <c r="F40" s="41">
        <f t="shared" si="4"/>
        <v>0</v>
      </c>
      <c r="G40" s="41">
        <f t="shared" si="5"/>
        <v>69.3</v>
      </c>
      <c r="H40" s="41">
        <f t="shared" si="6"/>
        <v>86.6</v>
      </c>
      <c r="I40" s="41">
        <f>G40*$B40</f>
        <v>415.8</v>
      </c>
      <c r="J40" s="41">
        <f>H40*$B40</f>
        <v>519.6</v>
      </c>
      <c r="K40" s="70"/>
    </row>
    <row r="41" spans="1:11">
      <c r="A41" s="43" t="s">
        <v>70</v>
      </c>
      <c r="B41" s="30">
        <v>3</v>
      </c>
      <c r="C41" s="30">
        <f>ROUND(IF(H14,1.4,1)*IF(H16,1.3,1)*A24*_xlfn.SWITCH(H4,0,1,1,1.05)*(B21/100)*((12+IF(J10,3,0))/100)/1.1,1)</f>
        <v>32</v>
      </c>
      <c r="D41" s="30">
        <f>ROUND(IF(H14,1.4,1)*IF(H16,1.3,1)*A24*_xlfn.SWITCH(H4,0,1,1,1.05)*(B21/100)*_xlfn.SWITCH(B10,0,1.25,1,1.28,2,1.31,3,1.34,4,1.37,5,1.4)*((12+IF(J10,3,0))/100),1)</f>
        <v>44</v>
      </c>
      <c r="E41" s="30">
        <f>ROUND(B24/10*(C21/100)*0.5,1)</f>
        <v>0</v>
      </c>
      <c r="F41" s="30">
        <f t="shared" si="4"/>
        <v>0</v>
      </c>
      <c r="G41" s="30">
        <f t="shared" si="5"/>
        <v>32</v>
      </c>
      <c r="H41" s="30">
        <f t="shared" si="6"/>
        <v>44</v>
      </c>
      <c r="I41" s="30">
        <f>G41*$B41</f>
        <v>96</v>
      </c>
      <c r="J41" s="30">
        <f>H41*$B41</f>
        <v>132</v>
      </c>
      <c r="K41" s="70"/>
    </row>
    <row r="42" spans="1:11">
      <c r="A42" s="39" t="s">
        <v>74</v>
      </c>
      <c r="B42" s="30">
        <v>5</v>
      </c>
      <c r="C42" s="30">
        <f>ROUND(IF(H14,1.4,1)*IF(H16,1.3,1)*A24*_xlfn.SWITCH(H6,0,1,1,1.05)*(B21/100)*(12/100)/1.1,1)</f>
        <v>32</v>
      </c>
      <c r="D42" s="30">
        <f>ROUND(IF(H14,1.4,1)*IF(H16,1.3,1)*A24*_xlfn.SWITCH(H6,0,1,1,1.05)*(B21/100)*_xlfn.SWITCH(B10,0,1.25,1,1.28,2,1.31,3,1.34,4,1.37,5,1.4)*(12/100),1)</f>
        <v>44</v>
      </c>
      <c r="E42" s="30">
        <f>ROUND(B24/10*(C21/100)*0.6,1)</f>
        <v>0</v>
      </c>
      <c r="F42" s="30">
        <f t="shared" si="4"/>
        <v>0</v>
      </c>
      <c r="G42" s="30">
        <f t="shared" si="5"/>
        <v>32</v>
      </c>
      <c r="H42" s="30">
        <f t="shared" si="6"/>
        <v>44</v>
      </c>
      <c r="I42" s="30">
        <f>G42*$B42</f>
        <v>160</v>
      </c>
      <c r="J42" s="30">
        <f>H42*$B42</f>
        <v>220</v>
      </c>
      <c r="K42" s="70"/>
    </row>
    <row r="43" spans="1:11">
      <c r="A43" s="39" t="s">
        <v>76</v>
      </c>
      <c r="B43" s="30">
        <v>6</v>
      </c>
      <c r="C43" s="30">
        <f>ROUND(IF(H14,1.4,1)*IF(H16,1.3,1)*A24*_xlfn.SWITCH(H6,0,1,1,1.05)*(B21/100)*(15/100)/1.1,1)</f>
        <v>40</v>
      </c>
      <c r="D43" s="30">
        <f>ROUND(IF(H14,1.4,1)*IF(H16,1.3,1)*A24*_xlfn.SWITCH(H6,0,1,1,1.05)*(B21/100)*_xlfn.SWITCH(B10,0,1.25,1,1.28,2,1.31,3,1.34,4,1.37,5,1.4)*(15/100),1)</f>
        <v>55</v>
      </c>
      <c r="E43" s="30">
        <f>ROUND(B24/10*(C21/100)*0.75,1)</f>
        <v>0</v>
      </c>
      <c r="F43" s="30">
        <f t="shared" si="4"/>
        <v>0</v>
      </c>
      <c r="G43" s="30">
        <f t="shared" si="5"/>
        <v>40</v>
      </c>
      <c r="H43" s="30">
        <f t="shared" si="6"/>
        <v>55</v>
      </c>
      <c r="I43" s="30">
        <f>G43*$B43</f>
        <v>240</v>
      </c>
      <c r="J43" s="30">
        <f>H43*$B43</f>
        <v>330</v>
      </c>
      <c r="K43" s="70"/>
    </row>
    <row r="44" spans="11:11">
      <c r="K44" s="59"/>
    </row>
    <row r="45" customHeight="1" spans="1:21">
      <c r="A45" s="44" t="s">
        <v>98</v>
      </c>
      <c r="B45" s="24"/>
      <c r="C45" s="45" t="s">
        <v>99</v>
      </c>
      <c r="D45" s="46"/>
      <c r="E45" s="46"/>
      <c r="F45" s="46"/>
      <c r="G45" s="46"/>
      <c r="H45" s="46"/>
      <c r="I45" s="72"/>
      <c r="K45" s="59"/>
      <c r="L45" s="44" t="s">
        <v>100</v>
      </c>
      <c r="M45" s="24"/>
      <c r="N45" s="73" t="s">
        <v>101</v>
      </c>
      <c r="O45" s="46"/>
      <c r="P45" s="46"/>
      <c r="Q45" s="46"/>
      <c r="R45" s="46"/>
      <c r="S45" s="46"/>
      <c r="T45" s="46"/>
      <c r="U45" s="72"/>
    </row>
    <row r="46" spans="1:21">
      <c r="A46" s="47" t="s">
        <v>102</v>
      </c>
      <c r="B46" s="47">
        <f>ROUND(((J30+J33)*C24/100+(I30+I33)*(100-C24)/100)*0.9,1)</f>
        <v>235.4</v>
      </c>
      <c r="C46" s="48"/>
      <c r="D46" s="49"/>
      <c r="E46" s="49"/>
      <c r="F46" s="49"/>
      <c r="G46" s="49"/>
      <c r="H46" s="49"/>
      <c r="I46" s="74"/>
      <c r="J46" s="59"/>
      <c r="K46" s="59"/>
      <c r="L46" s="75" t="s">
        <v>102</v>
      </c>
      <c r="M46" s="75">
        <f>ROUND(((U30+U33)*C24/100+(T30+T33)*(100-C24)/100)*0.95*0.7,1)</f>
        <v>261.3</v>
      </c>
      <c r="N46" s="76"/>
      <c r="O46" s="34"/>
      <c r="P46" s="34"/>
      <c r="Q46" s="34"/>
      <c r="R46" s="34"/>
      <c r="S46" s="34"/>
      <c r="T46" s="34"/>
      <c r="U46" s="83"/>
    </row>
    <row r="47" spans="1:21">
      <c r="A47" s="47" t="s">
        <v>103</v>
      </c>
      <c r="B47" s="47">
        <f>ROUND(((J30+J33+J36)*C24/100+(I30+I33+I36)*(100-C24)/100)*0.9,1)</f>
        <v>460.1</v>
      </c>
      <c r="C47" s="50"/>
      <c r="D47" s="51"/>
      <c r="E47" s="51"/>
      <c r="F47" s="51"/>
      <c r="G47" s="51"/>
      <c r="H47" s="51"/>
      <c r="I47" s="77"/>
      <c r="J47" s="59"/>
      <c r="K47" s="59"/>
      <c r="L47" s="75" t="s">
        <v>103</v>
      </c>
      <c r="M47" s="75">
        <f>ROUND(((U30+U33+U36)*C24/100+(T30+T33+T36)*(100-C24)/100)*0.95*0.7,1)</f>
        <v>529.6</v>
      </c>
      <c r="N47" s="24"/>
      <c r="O47" s="53"/>
      <c r="P47" s="53"/>
      <c r="Q47" s="53"/>
      <c r="R47" s="53"/>
      <c r="S47" s="53"/>
      <c r="T47" s="53"/>
      <c r="U47" s="78"/>
    </row>
    <row r="48" customHeight="1" spans="1:21">
      <c r="A48" s="47" t="s">
        <v>77</v>
      </c>
      <c r="B48" s="47">
        <f>ROUND((J37*C24/100+I37*(100-C24)/100),1)</f>
        <v>442.2</v>
      </c>
      <c r="C48" s="45" t="s">
        <v>104</v>
      </c>
      <c r="D48" s="46"/>
      <c r="E48" s="46"/>
      <c r="F48" s="46"/>
      <c r="G48" s="46"/>
      <c r="H48" s="46"/>
      <c r="I48" s="72"/>
      <c r="J48" s="59"/>
      <c r="K48" s="59"/>
      <c r="L48" s="75" t="s">
        <v>77</v>
      </c>
      <c r="M48" s="75">
        <f>ROUND((U37*C24/100+T37*(100-C24)/100),1)</f>
        <v>415.8</v>
      </c>
      <c r="N48" s="73" t="s">
        <v>105</v>
      </c>
      <c r="O48" s="46"/>
      <c r="P48" s="46"/>
      <c r="Q48" s="46"/>
      <c r="R48" s="46"/>
      <c r="S48" s="46"/>
      <c r="T48" s="46"/>
      <c r="U48" s="72"/>
    </row>
    <row r="49" spans="1:21">
      <c r="A49" s="47" t="s">
        <v>81</v>
      </c>
      <c r="B49" s="47">
        <f>ROUND((J38*C24/100+I38*(100-C24)/100),1)</f>
        <v>240.7</v>
      </c>
      <c r="C49" s="52" t="s">
        <v>106</v>
      </c>
      <c r="D49" s="53"/>
      <c r="E49" s="53"/>
      <c r="F49" s="53"/>
      <c r="G49" s="53"/>
      <c r="H49" s="53"/>
      <c r="I49" s="78"/>
      <c r="J49" s="59"/>
      <c r="K49" s="59"/>
      <c r="L49" s="75" t="s">
        <v>81</v>
      </c>
      <c r="M49" s="75">
        <f>ROUND((U38*C24/100+T38*(100-C24)/100),1)</f>
        <v>240.7</v>
      </c>
      <c r="N49" s="24"/>
      <c r="O49" s="53"/>
      <c r="P49" s="53"/>
      <c r="Q49" s="53"/>
      <c r="R49" s="53"/>
      <c r="S49" s="53"/>
      <c r="T49" s="53"/>
      <c r="U49" s="78"/>
    </row>
    <row r="50" customHeight="1" spans="1:21">
      <c r="A50" s="47" t="s">
        <v>67</v>
      </c>
      <c r="B50" s="47">
        <f>ROUND((J39*C24/100+I39*(100-C24)/100),1)</f>
        <v>409.5</v>
      </c>
      <c r="C50" s="48"/>
      <c r="D50" s="49"/>
      <c r="E50" s="49"/>
      <c r="F50" s="49"/>
      <c r="G50" s="49"/>
      <c r="H50" s="49"/>
      <c r="I50" s="74"/>
      <c r="J50" s="59"/>
      <c r="K50" s="59"/>
      <c r="L50" s="79"/>
      <c r="M50" s="46"/>
      <c r="N50" s="73" t="s">
        <v>107</v>
      </c>
      <c r="O50" s="46"/>
      <c r="P50" s="46"/>
      <c r="Q50" s="46"/>
      <c r="R50" s="46"/>
      <c r="S50" s="46"/>
      <c r="T50" s="46"/>
      <c r="U50" s="72"/>
    </row>
    <row r="51" spans="1:21">
      <c r="A51" s="47" t="s">
        <v>69</v>
      </c>
      <c r="B51" s="47">
        <f>ROUND((J40*C24/100+I40*(100-C24)/100),1)</f>
        <v>421</v>
      </c>
      <c r="C51" s="50"/>
      <c r="D51" s="51"/>
      <c r="E51" s="51"/>
      <c r="F51" s="51"/>
      <c r="G51" s="51"/>
      <c r="H51" s="51"/>
      <c r="I51" s="77"/>
      <c r="J51" s="59"/>
      <c r="K51" s="59"/>
      <c r="L51" s="24"/>
      <c r="M51" s="53"/>
      <c r="N51" s="24"/>
      <c r="O51" s="53"/>
      <c r="P51" s="53"/>
      <c r="Q51" s="53"/>
      <c r="R51" s="53"/>
      <c r="S51" s="53"/>
      <c r="T51" s="53"/>
      <c r="U51" s="78"/>
    </row>
    <row r="52" customHeight="1" spans="10:21">
      <c r="J52" s="59"/>
      <c r="K52" s="80" t="s">
        <v>108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spans="11:21"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</row>
    <row r="54" spans="11:21"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</row>
    <row r="55" spans="11:21"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spans="11:21"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8" spans="1:13">
      <c r="A58" s="54" t="s">
        <v>109</v>
      </c>
      <c r="B58" s="55" t="s">
        <v>110</v>
      </c>
      <c r="C58" s="34"/>
      <c r="D58" s="56"/>
      <c r="E58" s="56"/>
      <c r="F58" s="56"/>
      <c r="G58" s="56"/>
      <c r="H58" s="56"/>
      <c r="I58" s="56"/>
      <c r="J58" s="56"/>
      <c r="K58" s="56"/>
      <c r="L58" s="56"/>
      <c r="M58" s="56"/>
    </row>
    <row r="59" spans="1:14">
      <c r="A59" s="57" t="s">
        <v>111</v>
      </c>
      <c r="B59" s="34"/>
      <c r="C59" s="34"/>
      <c r="D59" s="34"/>
      <c r="E59" s="34"/>
      <c r="F59" s="34"/>
      <c r="G59" s="34"/>
      <c r="H59" s="34"/>
      <c r="I59" s="34"/>
      <c r="J59" s="34"/>
      <c r="K59" s="81" t="s">
        <v>112</v>
      </c>
      <c r="L59" s="34"/>
      <c r="M59" s="34"/>
      <c r="N59" s="34"/>
    </row>
    <row r="60" spans="1:12">
      <c r="A60" s="58" t="s">
        <v>113</v>
      </c>
      <c r="B60" s="34"/>
      <c r="C60" s="34"/>
      <c r="D60" s="34"/>
      <c r="E60" s="59"/>
      <c r="F60" s="59"/>
      <c r="G60" s="59"/>
      <c r="H60" s="59"/>
      <c r="I60" s="59"/>
      <c r="J60" s="59"/>
      <c r="K60" s="59"/>
      <c r="L60" s="59"/>
    </row>
    <row r="61" spans="1:12">
      <c r="A61" s="34"/>
      <c r="B61" s="34"/>
      <c r="C61" s="34"/>
      <c r="D61" s="34"/>
      <c r="E61" s="59"/>
      <c r="F61" s="59"/>
      <c r="G61" s="59"/>
      <c r="H61" s="59"/>
      <c r="I61" s="59"/>
      <c r="J61" s="59"/>
      <c r="K61" s="59"/>
      <c r="L61" s="59"/>
    </row>
    <row r="63" spans="1:8">
      <c r="A63" s="3" t="s">
        <v>114</v>
      </c>
      <c r="B63" s="59" t="s">
        <v>115</v>
      </c>
      <c r="C63" s="60"/>
      <c r="D63" s="60"/>
      <c r="E63" s="60"/>
      <c r="F63" s="60"/>
      <c r="H63" s="61" t="s">
        <v>116</v>
      </c>
    </row>
    <row r="64" customHeight="1" spans="8:17">
      <c r="H64" s="62" t="s">
        <v>117</v>
      </c>
      <c r="I64" s="60"/>
      <c r="J64" s="60"/>
      <c r="K64" s="60"/>
      <c r="L64" s="60"/>
      <c r="M64" s="60"/>
      <c r="N64" s="60"/>
      <c r="O64" s="60"/>
      <c r="P64" s="60"/>
      <c r="Q64" s="60"/>
    </row>
    <row r="65" spans="8:17"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7" customHeight="1"/>
    <row r="70" spans="11:11">
      <c r="K70" s="59"/>
    </row>
    <row r="71" spans="11:11">
      <c r="K71" s="59"/>
    </row>
    <row r="72" spans="10:11">
      <c r="J72" s="59"/>
      <c r="K72" s="59"/>
    </row>
    <row r="77" customHeight="1"/>
    <row r="78" spans="11:12">
      <c r="K78" s="59"/>
      <c r="L78" s="59"/>
    </row>
    <row r="79" spans="11:12">
      <c r="K79" s="59"/>
      <c r="L79" s="59"/>
    </row>
    <row r="80" spans="11:12">
      <c r="K80" s="59"/>
      <c r="L80" s="59"/>
    </row>
    <row r="85" spans="1:12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</row>
    <row r="173" spans="1:1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</row>
    <row r="174" spans="1:1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</row>
    <row r="175" spans="1:1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</row>
    <row r="176" spans="1:1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</row>
    <row r="177" spans="1:1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</row>
    <row r="178" spans="1:1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</row>
    <row r="179" spans="1:1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</row>
    <row r="180" spans="1:1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</row>
    <row r="181" spans="1:1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</row>
    <row r="182" spans="1:1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</row>
    <row r="183" spans="1:1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</row>
    <row r="184" spans="1:1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</row>
    <row r="185" spans="1:1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</row>
    <row r="186" spans="1:1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</row>
    <row r="187" spans="1:1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</row>
    <row r="188" spans="1:1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</row>
    <row r="189" spans="1:1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</row>
    <row r="190" spans="1:1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</row>
    <row r="191" spans="1:1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</row>
    <row r="192" spans="1:1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</row>
    <row r="193" spans="1:1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</row>
    <row r="194" spans="1:1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</row>
    <row r="195" spans="1:1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</row>
    <row r="196" spans="1:1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</row>
    <row r="197" spans="1:1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</row>
    <row r="198" spans="1:1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</row>
    <row r="199" spans="1:1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</row>
    <row r="200" spans="1:1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</row>
    <row r="201" spans="1:1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</row>
    <row r="202" spans="1:1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</row>
    <row r="203" spans="1:1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</row>
    <row r="204" spans="1:1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</row>
    <row r="205" spans="1:1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</row>
    <row r="206" spans="1:1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</row>
    <row r="207" spans="1:1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</row>
    <row r="208" spans="1:1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</row>
    <row r="209" spans="1:1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</row>
    <row r="210" spans="1:1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</row>
    <row r="211" spans="1:1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</row>
    <row r="212" spans="1: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</row>
    <row r="213" spans="1:1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</row>
    <row r="214" spans="1:1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</row>
    <row r="215" spans="1:1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</row>
    <row r="216" spans="1:1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</row>
    <row r="217" spans="1:1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</row>
    <row r="218" spans="1:1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</row>
    <row r="219" spans="1:1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</row>
    <row r="220" spans="1:1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</row>
    <row r="221" spans="1:1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</row>
    <row r="222" spans="1:1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</row>
    <row r="223" spans="1:1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</row>
    <row r="224" spans="1:1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</row>
    <row r="225" spans="1:1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</row>
    <row r="226" spans="1:1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</row>
    <row r="227" spans="1:1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</row>
    <row r="228" spans="1:1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</row>
    <row r="229" spans="1:1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</row>
    <row r="230" spans="1:12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</row>
    <row r="231" spans="1:12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</row>
    <row r="232" spans="1:1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</row>
    <row r="233" spans="1:12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</row>
    <row r="234" spans="1:12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</row>
    <row r="235" spans="1:12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</row>
    <row r="236" spans="1:12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</row>
    <row r="237" spans="1:12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</row>
    <row r="238" spans="1:12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</row>
    <row r="239" spans="1:12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</row>
    <row r="240" spans="1:12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</row>
    <row r="241" spans="1:12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</row>
    <row r="242" spans="1:1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</row>
    <row r="243" spans="1:1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</row>
    <row r="244" spans="1:12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</row>
    <row r="245" spans="1:12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</row>
    <row r="246" spans="1:12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</row>
    <row r="247" spans="1:12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</row>
    <row r="248" spans="1:12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</row>
    <row r="249" spans="1:12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</row>
    <row r="250" spans="1:12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</row>
    <row r="251" spans="1:1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</row>
    <row r="252" spans="1:1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</row>
    <row r="253" spans="1:12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</row>
    <row r="254" spans="1:12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</row>
    <row r="255" spans="1:1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</row>
    <row r="256" spans="1:12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</row>
    <row r="257" spans="1:12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</row>
    <row r="258" spans="1:1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</row>
    <row r="259" spans="1:12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</row>
    <row r="260" spans="1:1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</row>
    <row r="261" spans="1:1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</row>
    <row r="262" spans="1:1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</row>
    <row r="263" spans="1:12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</row>
    <row r="264" spans="1:12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</row>
    <row r="265" spans="1:12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</row>
    <row r="266" spans="1:12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</row>
    <row r="267" spans="1:12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</row>
    <row r="268" spans="1:12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</row>
    <row r="269" spans="1:12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</row>
    <row r="270" spans="1:12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</row>
    <row r="271" spans="1:12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</row>
    <row r="272" spans="1:1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</row>
    <row r="273" spans="1:12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</row>
    <row r="274" spans="1:12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</row>
    <row r="275" spans="1:12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</row>
    <row r="276" spans="1:12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</row>
    <row r="277" spans="1:12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</row>
    <row r="278" spans="1:12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</row>
    <row r="279" spans="1:12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</row>
    <row r="280" spans="1:12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</row>
    <row r="281" spans="1:12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</row>
    <row r="282" spans="1:1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</row>
    <row r="283" spans="1:12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</row>
    <row r="284" spans="1:12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</row>
    <row r="285" spans="1:12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</row>
    <row r="286" spans="1:12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</row>
    <row r="287" spans="1:12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</row>
    <row r="288" spans="1:12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</row>
    <row r="289" spans="1:12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</row>
    <row r="290" spans="1:12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</row>
    <row r="291" spans="1:12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</row>
    <row r="292" spans="1:1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</row>
    <row r="293" spans="1:12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</row>
    <row r="294" spans="1:12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</row>
    <row r="295" spans="1:12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</row>
    <row r="296" spans="1:12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</row>
    <row r="297" spans="1:12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</row>
    <row r="298" spans="1:12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</row>
    <row r="299" spans="1:12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</row>
    <row r="300" spans="1:12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</row>
    <row r="301" spans="1:12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</row>
    <row r="302" spans="1:1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</row>
    <row r="303" spans="1:12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</row>
    <row r="304" spans="1:12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</row>
    <row r="305" spans="1:12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</row>
    <row r="306" spans="1:12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</row>
    <row r="307" spans="1:12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</row>
    <row r="308" spans="1:12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</row>
    <row r="309" spans="1:12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</row>
    <row r="310" spans="1:12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</row>
    <row r="311" spans="1:12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</row>
    <row r="312" spans="1: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</row>
    <row r="313" spans="1:12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</row>
    <row r="314" spans="1:12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</row>
    <row r="315" spans="1:12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</row>
    <row r="316" spans="1:12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</row>
    <row r="317" spans="1:12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</row>
    <row r="318" spans="1:12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</row>
    <row r="319" spans="1:12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</row>
    <row r="320" spans="1:12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</row>
    <row r="321" spans="1:12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</row>
    <row r="322" spans="1:1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</row>
    <row r="323" spans="1:12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</row>
    <row r="324" spans="1:12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</row>
    <row r="325" spans="1:12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</row>
    <row r="326" spans="1:12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</row>
    <row r="327" spans="1:12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</row>
    <row r="328" spans="1:12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</row>
    <row r="329" spans="1:12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</row>
    <row r="330" spans="1:12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</row>
    <row r="331" spans="1:12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</row>
    <row r="332" spans="1:1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</row>
    <row r="333" spans="1:12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</row>
    <row r="334" spans="1:12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</row>
    <row r="335" spans="1:12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</row>
    <row r="336" spans="1:12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</row>
    <row r="337" spans="1:12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</row>
    <row r="338" spans="1:12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</row>
    <row r="339" spans="1:12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</row>
    <row r="340" spans="1:12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</row>
    <row r="341" spans="1:12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</row>
    <row r="342" spans="1:1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</row>
    <row r="343" spans="1:12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</row>
    <row r="344" spans="1:12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</row>
    <row r="345" spans="1:12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</row>
    <row r="346" spans="1:12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</row>
    <row r="347" spans="1:12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</row>
    <row r="348" spans="1:12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</row>
    <row r="349" spans="1:12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</row>
    <row r="350" spans="1:12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</row>
    <row r="351" spans="1:12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</row>
    <row r="352" spans="1:1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</row>
    <row r="353" spans="1:12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</row>
    <row r="354" spans="1:12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</row>
    <row r="355" spans="1:12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</row>
    <row r="356" spans="1:12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</row>
    <row r="357" spans="1:12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</row>
    <row r="358" spans="1:12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</row>
    <row r="359" spans="1:12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</row>
    <row r="360" spans="1:12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</row>
    <row r="361" spans="1:12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</row>
    <row r="362" spans="1:1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</row>
    <row r="363" spans="1:12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</row>
    <row r="364" spans="1:12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</row>
    <row r="365" spans="1:12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</row>
    <row r="366" spans="1:12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</row>
    <row r="367" spans="1:12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</row>
    <row r="368" spans="1:12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</row>
    <row r="369" spans="1:12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</row>
    <row r="370" spans="1:12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</row>
    <row r="371" spans="1:12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</row>
    <row r="372" spans="1:1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</row>
    <row r="373" spans="1:12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</row>
    <row r="374" spans="1:12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</row>
    <row r="375" spans="1:12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</row>
    <row r="376" spans="1:12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</row>
    <row r="377" spans="1:12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</row>
    <row r="378" spans="1:12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</row>
    <row r="379" spans="1:12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</row>
    <row r="380" spans="1:12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</row>
    <row r="381" spans="1:12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</row>
    <row r="382" spans="1:1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</row>
    <row r="383" spans="1:12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</row>
    <row r="384" spans="1:12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</row>
    <row r="385" spans="1:12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</row>
    <row r="386" spans="1:12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</row>
    <row r="387" spans="1:12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</row>
    <row r="388" spans="1:12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</row>
    <row r="389" spans="1:12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</row>
    <row r="390" spans="1:12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</row>
    <row r="391" spans="1:12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</row>
    <row r="392" spans="1:1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</row>
    <row r="393" spans="1:12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</row>
    <row r="394" spans="1:12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</row>
    <row r="395" spans="1:12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</row>
    <row r="396" spans="1:12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</row>
    <row r="397" spans="1:12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</row>
    <row r="398" spans="1:12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</row>
    <row r="399" spans="1:12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</row>
    <row r="400" spans="1:12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</row>
    <row r="401" spans="1:12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</row>
    <row r="402" spans="1:1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</row>
    <row r="403" spans="1:12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</row>
    <row r="404" spans="1:12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</row>
    <row r="405" spans="1:12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</row>
    <row r="406" spans="1:12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</row>
    <row r="407" spans="1:12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</row>
    <row r="408" spans="1:12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</row>
    <row r="409" spans="1:12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</row>
    <row r="410" spans="1:12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</row>
    <row r="411" spans="1:12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</row>
    <row r="412" spans="1: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</row>
    <row r="413" spans="1:12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</row>
    <row r="414" spans="1:12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</row>
    <row r="415" spans="1:12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</row>
    <row r="416" spans="1:12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</row>
    <row r="417" spans="1:12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</row>
    <row r="418" spans="1:12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</row>
    <row r="419" spans="1:12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</row>
    <row r="420" spans="1:12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</row>
    <row r="421" spans="1:12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</row>
    <row r="422" spans="1:1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</row>
    <row r="423" spans="1:12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</row>
    <row r="424" spans="1:12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</row>
    <row r="425" spans="1:12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</row>
    <row r="426" spans="1:12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</row>
    <row r="427" spans="1:12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</row>
    <row r="428" spans="1:12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</row>
    <row r="429" spans="1:12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</row>
    <row r="430" spans="1:12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</row>
    <row r="431" spans="1:12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</row>
    <row r="432" spans="1:1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</row>
    <row r="433" spans="1:12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</row>
    <row r="434" spans="1:12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</row>
    <row r="435" spans="1:12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</row>
    <row r="436" spans="1:12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</row>
    <row r="437" spans="1:12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</row>
    <row r="438" spans="1:12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</row>
    <row r="439" spans="1:12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</row>
    <row r="440" spans="1:12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</row>
    <row r="441" spans="1:12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</row>
    <row r="442" spans="1:1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</row>
    <row r="443" spans="1:12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</row>
    <row r="444" spans="1:12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</row>
    <row r="445" spans="1:12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</row>
    <row r="446" spans="1:12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</row>
    <row r="447" spans="1:12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</row>
    <row r="448" spans="1:12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</row>
    <row r="449" spans="1:12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</row>
    <row r="450" spans="1:12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</row>
    <row r="451" spans="1:12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</row>
    <row r="452" spans="1:1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</row>
    <row r="453" spans="1:12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</row>
    <row r="454" spans="1:12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</row>
    <row r="455" spans="1:12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</row>
    <row r="456" spans="1:12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</row>
    <row r="457" spans="1:12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</row>
    <row r="458" spans="1:12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</row>
    <row r="459" spans="1:12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</row>
    <row r="460" spans="1:12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</row>
    <row r="461" spans="1:12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</row>
    <row r="462" spans="1:1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</row>
    <row r="463" spans="1:12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</row>
    <row r="464" spans="1:12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</row>
    <row r="465" spans="1:12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</row>
    <row r="466" spans="1:12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</row>
    <row r="467" spans="1:12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</row>
    <row r="468" spans="1:12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</row>
    <row r="469" spans="1:12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</row>
    <row r="470" spans="1:12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</row>
    <row r="471" spans="1:12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</row>
    <row r="472" spans="1:1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</row>
    <row r="473" spans="1:12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</row>
    <row r="474" spans="1:12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</row>
    <row r="475" spans="1:12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</row>
    <row r="476" spans="1:12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</row>
    <row r="477" spans="1:12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</row>
    <row r="478" spans="1:12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</row>
    <row r="479" spans="1:12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</row>
    <row r="480" spans="1:12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</row>
    <row r="481" spans="1:12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</row>
    <row r="482" spans="1:1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</row>
    <row r="483" spans="1:12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</row>
    <row r="484" spans="1:12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</row>
    <row r="485" spans="1:12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</row>
    <row r="486" spans="1:12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</row>
    <row r="487" spans="1:12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</row>
    <row r="488" spans="1:12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</row>
    <row r="489" spans="1:12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</row>
    <row r="490" spans="1:12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</row>
    <row r="491" spans="1:12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</row>
    <row r="492" spans="1:1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</row>
    <row r="493" spans="1:12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</row>
    <row r="494" spans="1:12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</row>
    <row r="495" spans="1:12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</row>
    <row r="496" spans="1:12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</row>
    <row r="497" spans="1:12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</row>
    <row r="498" spans="1:12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</row>
    <row r="499" spans="1:12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</row>
    <row r="500" spans="1:12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</row>
    <row r="501" spans="1:12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</row>
    <row r="502" spans="1:1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</row>
    <row r="503" spans="1:12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</row>
    <row r="504" spans="1:12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</row>
    <row r="505" spans="1:12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</row>
    <row r="506" spans="1:12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</row>
    <row r="507" spans="1:12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</row>
    <row r="508" spans="1:12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</row>
    <row r="509" spans="1:12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</row>
    <row r="510" spans="1:12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</row>
    <row r="511" spans="1:12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</row>
    <row r="512" spans="1: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</row>
    <row r="513" spans="1:12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</row>
    <row r="514" spans="1:12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</row>
    <row r="515" spans="1:12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</row>
    <row r="516" spans="1:12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</row>
    <row r="517" spans="1:12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</row>
    <row r="518" spans="1:12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</row>
    <row r="519" spans="1:12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</row>
    <row r="520" spans="1:12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</row>
    <row r="521" spans="1:12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</row>
    <row r="522" spans="1:1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</row>
    <row r="523" spans="1:12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</row>
    <row r="524" spans="1:12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</row>
    <row r="525" spans="1:12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</row>
    <row r="526" spans="1:12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</row>
    <row r="527" spans="1:12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</row>
    <row r="528" spans="1:12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</row>
    <row r="529" spans="1:12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</row>
    <row r="530" spans="1:12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</row>
    <row r="531" spans="1:12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</row>
    <row r="532" spans="1:1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</row>
    <row r="533" spans="1:12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</row>
    <row r="534" spans="1:12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</row>
    <row r="535" spans="1:12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</row>
    <row r="536" spans="1:12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</row>
    <row r="537" spans="1:12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</row>
    <row r="538" spans="1:12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</row>
    <row r="539" spans="1:12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</row>
    <row r="540" spans="1:12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</row>
    <row r="541" spans="1:12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</row>
    <row r="542" spans="1:1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</row>
    <row r="543" spans="1:12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</row>
    <row r="544" spans="1:12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</row>
    <row r="545" spans="1:12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</row>
    <row r="546" spans="1:12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</row>
    <row r="547" spans="1:12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</row>
    <row r="548" spans="1:12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</row>
    <row r="549" spans="1:12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</row>
    <row r="550" spans="1:12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</row>
    <row r="551" spans="1:12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</row>
    <row r="552" spans="1:1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</row>
    <row r="553" spans="1:12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</row>
    <row r="554" spans="1:12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</row>
    <row r="555" spans="1:12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</row>
    <row r="556" spans="1:12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</row>
    <row r="557" spans="1:12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</row>
    <row r="558" spans="1:12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</row>
    <row r="559" spans="1:12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</row>
    <row r="560" spans="1:12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</row>
    <row r="561" spans="1:12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</row>
    <row r="562" spans="1:1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</row>
    <row r="563" spans="1:12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</row>
    <row r="564" spans="1:12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</row>
    <row r="565" spans="1:12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</row>
    <row r="566" spans="1:12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</row>
    <row r="567" spans="1:12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</row>
    <row r="568" spans="1:12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</row>
    <row r="569" spans="1:12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</row>
    <row r="570" spans="1:12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</row>
    <row r="571" spans="1:12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</row>
    <row r="572" spans="1:1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</row>
    <row r="573" spans="1:12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</row>
    <row r="574" spans="1:12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</row>
    <row r="575" spans="1:12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</row>
    <row r="576" spans="1:12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</row>
    <row r="577" spans="1:12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</row>
    <row r="578" spans="1:12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</row>
    <row r="579" spans="1:12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</row>
  </sheetData>
  <sheetProtection algorithmName="SHA-512" hashValue="2NT1/bmyKIZWpfo8FG1XUdjfs3+T7Rm8ZvhG2QwItIawkOUpWKk3D6wohEjHHX0MlIK4M04q9lkxp9+JA2YUGg==" saltValue="MXHQXqt5B4rD8Mq6lhOGOw==" spinCount="100000" sheet="1" objects="1" scenarios="1"/>
  <mergeCells count="29">
    <mergeCell ref="L6:M6"/>
    <mergeCell ref="N6:O6"/>
    <mergeCell ref="E20:F20"/>
    <mergeCell ref="E21:F21"/>
    <mergeCell ref="E22:F22"/>
    <mergeCell ref="D24:E24"/>
    <mergeCell ref="F24:M24"/>
    <mergeCell ref="D25:E25"/>
    <mergeCell ref="F25:M25"/>
    <mergeCell ref="T26:U26"/>
    <mergeCell ref="A45:B45"/>
    <mergeCell ref="C45:I45"/>
    <mergeCell ref="L45:M45"/>
    <mergeCell ref="C48:I48"/>
    <mergeCell ref="C49:I49"/>
    <mergeCell ref="B58:C58"/>
    <mergeCell ref="A59:J59"/>
    <mergeCell ref="K59:N59"/>
    <mergeCell ref="B63:F63"/>
    <mergeCell ref="A20:A22"/>
    <mergeCell ref="B21:B22"/>
    <mergeCell ref="C21:C22"/>
    <mergeCell ref="A60:D61"/>
    <mergeCell ref="N45:U47"/>
    <mergeCell ref="H64:Q65"/>
    <mergeCell ref="N48:U49"/>
    <mergeCell ref="L50:M51"/>
    <mergeCell ref="K52:U56"/>
    <mergeCell ref="N50:U51"/>
  </mergeCells>
  <hyperlinks>
    <hyperlink ref="B58" r:id="rId1" display="MHWS 1.0 解包目录"/>
    <hyperlink ref="K59" r:id="rId2" display="https://mhwilds.kiranico.com/zh/data/monster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topLeftCell="A37" workbookViewId="0">
      <selection activeCell="D52" sqref="D52:D53"/>
    </sheetView>
  </sheetViews>
  <sheetFormatPr defaultColWidth="9" defaultRowHeight="14.25"/>
  <cols>
    <col min="1" max="1" width="18.375" style="1" customWidth="1"/>
    <col min="2" max="2" width="16.875" style="1" customWidth="1"/>
    <col min="3" max="3" width="14.125" style="1" customWidth="1"/>
    <col min="4" max="4" width="14.875" style="1" customWidth="1"/>
    <col min="7" max="7" width="12" style="1" customWidth="1"/>
    <col min="10" max="10" width="17.75" style="1" customWidth="1"/>
    <col min="11" max="11" width="9" style="1" customWidth="1"/>
    <col min="13" max="13" width="9.25" style="1" customWidth="1"/>
    <col min="15" max="15" width="11.75" style="1" customWidth="1"/>
  </cols>
  <sheetData>
    <row r="1" spans="1:3">
      <c r="A1" s="2" t="s">
        <v>4</v>
      </c>
      <c r="B1" s="2"/>
      <c r="C1" s="2"/>
    </row>
    <row r="2" spans="1:15">
      <c r="A2" t="s">
        <v>9</v>
      </c>
      <c r="B2" t="s">
        <v>14</v>
      </c>
      <c r="C2" t="s">
        <v>18</v>
      </c>
      <c r="D2" t="s">
        <v>23</v>
      </c>
      <c r="E2" t="s">
        <v>35</v>
      </c>
      <c r="F2" t="s">
        <v>39</v>
      </c>
      <c r="G2" t="s">
        <v>44</v>
      </c>
      <c r="H2" t="s">
        <v>48</v>
      </c>
      <c r="I2" t="s">
        <v>52</v>
      </c>
      <c r="J2" t="s">
        <v>118</v>
      </c>
      <c r="K2" t="s">
        <v>57</v>
      </c>
      <c r="L2" t="s">
        <v>60</v>
      </c>
      <c r="M2" t="s">
        <v>63</v>
      </c>
      <c r="N2" t="s">
        <v>66</v>
      </c>
      <c r="O2" t="s">
        <v>68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8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>
      <c r="A7">
        <v>4</v>
      </c>
      <c r="C7">
        <v>4</v>
      </c>
      <c r="D7">
        <v>4</v>
      </c>
      <c r="G7">
        <v>4</v>
      </c>
      <c r="H7">
        <v>4</v>
      </c>
    </row>
    <row r="8" spans="1:8">
      <c r="A8">
        <v>5</v>
      </c>
      <c r="C8">
        <v>5</v>
      </c>
      <c r="D8">
        <v>5</v>
      </c>
      <c r="G8">
        <v>5</v>
      </c>
      <c r="H8">
        <v>5</v>
      </c>
    </row>
    <row r="10" spans="1:1">
      <c r="A10" s="2" t="s">
        <v>5</v>
      </c>
    </row>
    <row r="11" spans="1:7">
      <c r="A11" t="s">
        <v>10</v>
      </c>
      <c r="B11" t="s">
        <v>15</v>
      </c>
      <c r="C11" t="s">
        <v>19</v>
      </c>
      <c r="D11" t="s">
        <v>36</v>
      </c>
      <c r="E11" t="s">
        <v>24</v>
      </c>
      <c r="F11" t="s">
        <v>119</v>
      </c>
      <c r="G11" t="s">
        <v>40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</row>
    <row r="16" spans="5:6">
      <c r="E16">
        <v>4</v>
      </c>
      <c r="F16">
        <v>4</v>
      </c>
    </row>
    <row r="17" spans="2:6">
      <c r="B17" s="2"/>
      <c r="E17">
        <v>5</v>
      </c>
      <c r="F17">
        <v>5</v>
      </c>
    </row>
    <row r="19" spans="1:1">
      <c r="A19" s="2" t="s">
        <v>6</v>
      </c>
    </row>
    <row r="20" spans="1:5">
      <c r="A20" t="s">
        <v>37</v>
      </c>
      <c r="B20" t="s">
        <v>11</v>
      </c>
      <c r="C20" t="s">
        <v>120</v>
      </c>
      <c r="D20" t="s">
        <v>16</v>
      </c>
      <c r="E20" t="s">
        <v>25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1</v>
      </c>
      <c r="B22">
        <v>1</v>
      </c>
      <c r="C22">
        <v>1</v>
      </c>
      <c r="D22">
        <v>1</v>
      </c>
      <c r="E22">
        <v>1</v>
      </c>
    </row>
    <row r="23" spans="1:5">
      <c r="A23">
        <v>2</v>
      </c>
      <c r="B23">
        <v>2</v>
      </c>
      <c r="C23">
        <v>2</v>
      </c>
      <c r="D23">
        <v>2</v>
      </c>
      <c r="E23">
        <v>2</v>
      </c>
    </row>
    <row r="24" spans="1:5">
      <c r="A24">
        <v>3</v>
      </c>
      <c r="B24">
        <v>3</v>
      </c>
      <c r="C24">
        <v>3</v>
      </c>
      <c r="D24">
        <v>3</v>
      </c>
      <c r="E24">
        <v>3</v>
      </c>
    </row>
    <row r="25" spans="2:5">
      <c r="B25">
        <v>4</v>
      </c>
      <c r="C25">
        <v>4</v>
      </c>
      <c r="D25">
        <v>4</v>
      </c>
      <c r="E25">
        <v>4</v>
      </c>
    </row>
    <row r="26" spans="2:5">
      <c r="B26">
        <v>5</v>
      </c>
      <c r="C26">
        <v>5</v>
      </c>
      <c r="D26">
        <v>5</v>
      </c>
      <c r="E26">
        <v>5</v>
      </c>
    </row>
    <row r="28" spans="1:1">
      <c r="A28" s="2" t="s">
        <v>7</v>
      </c>
    </row>
    <row r="29" spans="1:24">
      <c r="A29" t="s">
        <v>12</v>
      </c>
      <c r="B29" t="s">
        <v>17</v>
      </c>
      <c r="C29" t="s">
        <v>21</v>
      </c>
      <c r="D29" t="s">
        <v>26</v>
      </c>
      <c r="H29" s="2"/>
      <c r="J29" s="2"/>
      <c r="K29" s="2"/>
      <c r="M29" s="2"/>
      <c r="N29" s="2"/>
      <c r="P29" s="2"/>
      <c r="Q29" s="2"/>
      <c r="S29" s="2"/>
      <c r="T29" s="2"/>
      <c r="V29" s="2"/>
      <c r="W29" s="2"/>
      <c r="X29" s="2" t="s">
        <v>42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1</v>
      </c>
      <c r="B31">
        <v>1</v>
      </c>
      <c r="C31">
        <v>1</v>
      </c>
      <c r="D31">
        <v>1</v>
      </c>
    </row>
    <row r="32" spans="4:4">
      <c r="D32">
        <v>2</v>
      </c>
    </row>
    <row r="33" spans="1:1">
      <c r="A33" s="2" t="s">
        <v>8</v>
      </c>
    </row>
    <row r="34" spans="1:2">
      <c r="A34" t="s">
        <v>13</v>
      </c>
      <c r="B34" t="s">
        <v>121</v>
      </c>
    </row>
    <row r="35" spans="1:1">
      <c r="A35">
        <v>0</v>
      </c>
    </row>
    <row r="36" spans="1:1">
      <c r="A36">
        <v>1</v>
      </c>
    </row>
    <row r="37" spans="1:1">
      <c r="A37">
        <v>2</v>
      </c>
    </row>
    <row r="38" spans="1:1">
      <c r="A38">
        <v>3</v>
      </c>
    </row>
    <row r="42" spans="1:1">
      <c r="A42" s="2" t="s">
        <v>41</v>
      </c>
    </row>
    <row r="43" spans="1:2">
      <c r="A43" t="s">
        <v>122</v>
      </c>
      <c r="B43" t="s">
        <v>123</v>
      </c>
    </row>
    <row r="44" spans="1:2">
      <c r="A44">
        <v>0</v>
      </c>
      <c r="B44">
        <v>0</v>
      </c>
    </row>
    <row r="45" spans="1:2">
      <c r="A45">
        <v>2</v>
      </c>
      <c r="B45">
        <v>2</v>
      </c>
    </row>
    <row r="46" spans="1:2">
      <c r="A46">
        <v>4</v>
      </c>
      <c r="B46">
        <v>4</v>
      </c>
    </row>
    <row r="50" spans="1:1">
      <c r="A50" s="2" t="s">
        <v>55</v>
      </c>
    </row>
    <row r="51" spans="1:4">
      <c r="A51" t="s">
        <v>58</v>
      </c>
      <c r="B51" t="s">
        <v>64</v>
      </c>
      <c r="C51" t="s">
        <v>61</v>
      </c>
      <c r="D51" t="s">
        <v>124</v>
      </c>
    </row>
    <row r="52" spans="1:4">
      <c r="A52" t="b">
        <v>1</v>
      </c>
      <c r="B52" t="b">
        <v>1</v>
      </c>
      <c r="C52" t="b">
        <v>1</v>
      </c>
      <c r="D52" t="b">
        <v>1</v>
      </c>
    </row>
    <row r="53" spans="1:4">
      <c r="A53" t="b">
        <v>0</v>
      </c>
      <c r="B53" t="b">
        <v>0</v>
      </c>
      <c r="C53" t="b">
        <v>0</v>
      </c>
      <c r="D53" t="b">
        <v>0</v>
      </c>
    </row>
    <row r="55" spans="1:2">
      <c r="A55" s="2" t="s">
        <v>42</v>
      </c>
      <c r="B55" t="s">
        <v>50</v>
      </c>
    </row>
    <row r="56" spans="1:2">
      <c r="A56" t="b">
        <v>1</v>
      </c>
      <c r="B56" t="b">
        <v>1</v>
      </c>
    </row>
    <row r="57" spans="1:2">
      <c r="A57" t="b">
        <v>0</v>
      </c>
      <c r="B57" t="b">
        <v>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计算器</vt:lpstr>
      <vt:lpstr>对照组</vt:lpstr>
      <vt:lpstr>辅助表格请勿删除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L</dc:creator>
  <cp:lastModifiedBy>Administrator</cp:lastModifiedBy>
  <dcterms:created xsi:type="dcterms:W3CDTF">2025-05-24T04:32:00Z</dcterms:created>
  <dcterms:modified xsi:type="dcterms:W3CDTF">2025-05-30T07:32:20Z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327B1D9AA5174E1DBF6ECCE698A1394A_12</vt:lpwstr>
  </property>
  <property fmtid="{D5CDD505-2E9C-101B-9397-08002B2CF9AE}" pid="3" name="KSOProductBuildVer">
    <vt:lpwstr>2052-12.1.0.21171</vt:lpwstr>
  </property>
</Properties>
</file>