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re_homeworks\hw1\src\"/>
    </mc:Choice>
  </mc:AlternateContent>
  <xr:revisionPtr revIDLastSave="0" documentId="13_ncr:1_{0A3E80E5-C2FD-40C6-B0C6-367B53BAFE2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New results" sheetId="5" r:id="rId1"/>
    <sheet name="Results MAIN" sheetId="1" r:id="rId2"/>
  </sheets>
  <definedNames>
    <definedName name="THRESHOLD">'Results MAIN'!$H$17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14" i="5" l="1"/>
  <c r="AB14" i="5"/>
  <c r="AA14" i="5"/>
  <c r="Z14" i="5"/>
  <c r="Y14" i="5"/>
  <c r="X14" i="5"/>
  <c r="W14" i="5"/>
  <c r="V14" i="5"/>
  <c r="U15" i="5"/>
  <c r="U14" i="5"/>
  <c r="T14" i="5"/>
  <c r="S14" i="5"/>
  <c r="Q30" i="5"/>
  <c r="AB15" i="5"/>
  <c r="AA15" i="5"/>
  <c r="Z15" i="5"/>
  <c r="Y15" i="5"/>
  <c r="X15" i="5"/>
  <c r="W15" i="5"/>
  <c r="V15" i="5"/>
  <c r="T15" i="5"/>
  <c r="S15" i="5"/>
  <c r="R15" i="5"/>
  <c r="R21" i="5"/>
  <c r="R20" i="5"/>
  <c r="Q21" i="5"/>
  <c r="Q20" i="5"/>
  <c r="M21" i="5"/>
  <c r="L21" i="5"/>
  <c r="M20" i="5"/>
  <c r="L20" i="5"/>
  <c r="AB13" i="5"/>
  <c r="AA13" i="5"/>
  <c r="Z13" i="5"/>
  <c r="Y13" i="5"/>
  <c r="X13" i="5"/>
  <c r="W13" i="5"/>
  <c r="V13" i="5"/>
  <c r="U13" i="5"/>
  <c r="T13" i="5"/>
  <c r="S13" i="5"/>
  <c r="R13" i="5"/>
  <c r="R2" i="1"/>
  <c r="R3" i="1"/>
  <c r="R4" i="1"/>
  <c r="R5" i="1"/>
  <c r="R6" i="1"/>
  <c r="R7" i="1"/>
  <c r="R8" i="1"/>
  <c r="R9" i="1"/>
  <c r="R10" i="1"/>
  <c r="R11" i="1"/>
  <c r="S14" i="1"/>
  <c r="AC14" i="1"/>
  <c r="AB14" i="1"/>
  <c r="AA14" i="1"/>
  <c r="Z14" i="1"/>
  <c r="Y14" i="1"/>
  <c r="X14" i="1"/>
  <c r="W14" i="1"/>
  <c r="V14" i="1"/>
  <c r="U14" i="1"/>
  <c r="T14" i="1"/>
  <c r="Q26" i="5" l="1"/>
  <c r="Q27" i="5"/>
  <c r="Q29" i="5"/>
  <c r="Q28" i="5"/>
  <c r="L26" i="5"/>
  <c r="L27" i="5"/>
  <c r="L29" i="5" s="1"/>
  <c r="L28" i="5"/>
  <c r="O18" i="1"/>
  <c r="L22" i="1"/>
  <c r="K22" i="1"/>
  <c r="L21" i="1"/>
  <c r="K21" i="1"/>
  <c r="Q21" i="1" l="1"/>
  <c r="Q22" i="1"/>
  <c r="P21" i="1"/>
  <c r="P22" i="1"/>
  <c r="K29" i="1"/>
  <c r="K28" i="1"/>
  <c r="K27" i="1"/>
  <c r="P27" i="1" l="1"/>
  <c r="P26" i="1"/>
  <c r="P28" i="1"/>
  <c r="K30" i="1"/>
  <c r="P29" i="1" l="1"/>
</calcChain>
</file>

<file path=xl/sharedStrings.xml><?xml version="1.0" encoding="utf-8"?>
<sst xmlns="http://schemas.openxmlformats.org/spreadsheetml/2006/main" count="138" uniqueCount="65">
  <si>
    <t>y1</t>
  </si>
  <si>
    <t>y2</t>
  </si>
  <si>
    <t>y3</t>
  </si>
  <si>
    <t>y4</t>
  </si>
  <si>
    <t>Class</t>
  </si>
  <si>
    <t>p_y1_h0</t>
  </si>
  <si>
    <t>p_y2_h0</t>
  </si>
  <si>
    <t>p_y3_y4_h0</t>
  </si>
  <si>
    <t>p_y1_h1</t>
  </si>
  <si>
    <t>p_y2_h1</t>
  </si>
  <si>
    <t>p_y3_y4_h1</t>
  </si>
  <si>
    <t>Estimate</t>
  </si>
  <si>
    <t>x1</t>
  </si>
  <si>
    <t>A</t>
  </si>
  <si>
    <t>x2</t>
  </si>
  <si>
    <t>B</t>
  </si>
  <si>
    <t>x3</t>
  </si>
  <si>
    <t>x4</t>
  </si>
  <si>
    <t>C</t>
  </si>
  <si>
    <t>x5</t>
  </si>
  <si>
    <t>x6</t>
  </si>
  <si>
    <t>x7</t>
  </si>
  <si>
    <t>x8</t>
  </si>
  <si>
    <t>x9</t>
  </si>
  <si>
    <t>x10</t>
  </si>
  <si>
    <t>Precision</t>
  </si>
  <si>
    <t>Accuracy</t>
  </si>
  <si>
    <t>F1 Score</t>
  </si>
  <si>
    <t>Threshold</t>
  </si>
  <si>
    <t>Predicted</t>
  </si>
  <si>
    <t>True</t>
  </si>
  <si>
    <t>Metric</t>
  </si>
  <si>
    <t>Value</t>
  </si>
  <si>
    <t>Sensitivity/Recall</t>
  </si>
  <si>
    <t>p_h0_x_new</t>
  </si>
  <si>
    <t>p_h1_x_new</t>
  </si>
  <si>
    <t>p_h0_given_x_new</t>
  </si>
  <si>
    <t>p_h1_given_x_new</t>
  </si>
  <si>
    <t>Confusion matrix (original estimates)</t>
  </si>
  <si>
    <t>Column1</t>
  </si>
  <si>
    <t>Column2</t>
  </si>
  <si>
    <t>New estimate</t>
  </si>
  <si>
    <t>Set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</si>
  <si>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</si>
  <si>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</si>
  <si>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</si>
  <si>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</si>
  <si>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</si>
  <si>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</si>
  <si>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</si>
  <si>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</si>
  <si>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</si>
  <si>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Confusion matrix (optimal threshold)</t>
  </si>
  <si>
    <t>Specificity</t>
  </si>
  <si>
    <t>Set 1</t>
  </si>
  <si>
    <t>Set 2</t>
  </si>
  <si>
    <t>Set 3</t>
  </si>
  <si>
    <t>Set 4</t>
  </si>
  <si>
    <t>Set 5</t>
  </si>
  <si>
    <t>Set 6</t>
  </si>
  <si>
    <t>Set 7</t>
  </si>
  <si>
    <t>Set 8</t>
  </si>
  <si>
    <t>Set 9</t>
  </si>
  <si>
    <t>Set 10</t>
  </si>
  <si>
    <t>Set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</si>
</sst>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9"/>
      <name val="Arial"/>
      <family val="2"/>
    </font>
    <font>
      <b/>
      <sz val="10"/>
      <color theme="1" tint="4.9989318521683403E-2"/>
      <name val="Arial"/>
      <family val="2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3" fillId="2" borderId="4" xfId="1" applyBorder="1" applyAlignment="1">
      <alignment horizontal="center" vertical="center" wrapText="1"/>
    </xf>
    <xf numFmtId="165" fontId="3" fillId="2" borderId="1" xfId="1" applyNumberForma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0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textRotation="45" wrapText="1"/>
    </xf>
  </cellXfs>
  <cellStyles count="2">
    <cellStyle name="Good" xfId="1" builtinId="26"/>
    <cellStyle name="Normal" xfId="0" builtinId="0"/>
  </cellStyles>
  <dxfs count="66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theme="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0ED860-AC54-4C8F-922E-31732D074DA3}" name="Table4" displayName="Table4" ref="A1:AB11" totalsRowShown="0" headerRowDxfId="65" dataDxfId="64">
  <autoFilter ref="A1:AB11" xr:uid="{1C0ED860-AC54-4C8F-922E-31732D074DA3}"/>
  <sortState xmlns:xlrd2="http://schemas.microsoft.com/office/spreadsheetml/2017/richdata2" ref="A2:Q11">
    <sortCondition ref="P1:P11"/>
  </sortState>
  <tableColumns count="28">
    <tableColumn id="1" xr3:uid="{07B9F299-84B3-4879-BE7C-047944139985}" name="Column1" dataDxfId="63"/>
    <tableColumn id="2" xr3:uid="{3782D448-3EB0-40F8-8803-04C2D7F1FD6C}" name="y1" dataDxfId="62"/>
    <tableColumn id="3" xr3:uid="{DA159E6D-B9C7-4822-B4FF-7FC9772CCDBC}" name="y2" dataDxfId="61"/>
    <tableColumn id="4" xr3:uid="{E37066BF-9B65-4F67-9C27-C7F4A7AF8212}" name="y3" dataDxfId="60"/>
    <tableColumn id="5" xr3:uid="{08E9F8C4-F5AE-4C96-B952-5CA0BD7ABDAE}" name="y4" dataDxfId="59"/>
    <tableColumn id="6" xr3:uid="{680A95CA-A1B2-46DD-8C9F-6B0FFCB15F39}" name="Class" dataDxfId="58"/>
    <tableColumn id="7" xr3:uid="{7555252F-40C3-4A97-9B40-C3B82BE5F0A7}" name="p_y1_h0" dataDxfId="57"/>
    <tableColumn id="8" xr3:uid="{DDC92C37-76D5-4683-AA83-97110C378A0E}" name="p_y2_h0" dataDxfId="56"/>
    <tableColumn id="9" xr3:uid="{279C251B-3626-498E-BE69-667B0493580D}" name="p_y3_y4_h0" dataDxfId="55"/>
    <tableColumn id="10" xr3:uid="{D925FBF5-5172-49FD-9386-5F53C31C93F0}" name="p_h0_x_new" dataDxfId="54"/>
    <tableColumn id="11" xr3:uid="{60FEDB0F-7E14-4F19-8C7B-5DB2E1249F96}" name="p_y1_h1" dataDxfId="53"/>
    <tableColumn id="12" xr3:uid="{A429EC1F-0B59-4100-8411-D1FF2E64D91B}" name="p_y2_h1" dataDxfId="52"/>
    <tableColumn id="13" xr3:uid="{086F97A7-DD3C-4CA9-98E8-1BC837E3243B}" name="p_y3_y4_h1" dataDxfId="51"/>
    <tableColumn id="14" xr3:uid="{AE768156-486C-46B9-BF6D-D37DD7869A5A}" name="p_h1_x_new" dataDxfId="50"/>
    <tableColumn id="15" xr3:uid="{521E74E6-8D65-4ADA-9464-39856FBEF229}" name="p_h0_given_x_new" dataDxfId="49"/>
    <tableColumn id="16" xr3:uid="{55902AD7-3375-4357-A4DC-8A0A282CB3C6}" name="p_h1_given_x_new" dataDxfId="48"/>
    <tableColumn id="17" xr3:uid="{CB493853-12A0-4FCA-A343-695F664EA62A}" name="Estimate" dataDxfId="47"/>
    <tableColumn id="18" xr3:uid="{F22937C4-58A0-41CD-93A0-120DD3BD7553}" name="Set 1" dataDxfId="46"/>
    <tableColumn id="19" xr3:uid="{CC470730-9CE5-4F46-A8D1-9CECE4C6C367}" name="Set 2" dataDxfId="45"/>
    <tableColumn id="20" xr3:uid="{01A64156-C97E-42F3-A09B-D9801510C9DC}" name="Set 3" dataDxfId="44"/>
    <tableColumn id="21" xr3:uid="{A62813D6-5648-40AE-AA62-2C93431FF4BC}" name="Set 4" dataDxfId="43"/>
    <tableColumn id="22" xr3:uid="{ACCA3207-FB16-4C08-BD1B-55EF67ADF19F}" name="Set 5" dataDxfId="42"/>
    <tableColumn id="23" xr3:uid="{8232CC88-383A-4643-8E79-0C25FD028BE4}" name="Set 6" dataDxfId="41"/>
    <tableColumn id="24" xr3:uid="{DE47A40E-C87A-47D5-89ED-112A737037FA}" name="Set 7" dataDxfId="40"/>
    <tableColumn id="25" xr3:uid="{7052139F-81BD-4E4A-8FA9-0B3B739700A0}" name="Set 8" dataDxfId="39"/>
    <tableColumn id="26" xr3:uid="{2D3B42E2-268A-4926-A1F9-A86EF854A388}" name="Set 9" dataDxfId="38"/>
    <tableColumn id="27" xr3:uid="{32829845-FB69-4890-B23F-BED084A772A1}" name="Set 10" dataDxfId="37"/>
    <tableColumn id="28" xr3:uid="{36ACF796-6EB3-4D4F-AA84-707916081E07}" name="Set 11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D44153-DA74-4C2A-A695-6DD5F8C0A45F}" name="Table1" displayName="Table1" ref="A1:AC11" totalsRowShown="0" headerRowDxfId="34" dataDxfId="33">
  <autoFilter ref="A1:AC11" xr:uid="{06D44153-DA74-4C2A-A695-6DD5F8C0A45F}"/>
  <sortState xmlns:xlrd2="http://schemas.microsoft.com/office/spreadsheetml/2017/richdata2" ref="A2:R11">
    <sortCondition ref="P1:P11"/>
  </sortState>
  <tableColumns count="29">
    <tableColumn id="1" xr3:uid="{5D0BE134-FB5B-486A-B94B-BA72C7F35C05}" name="Column1" dataDxfId="32"/>
    <tableColumn id="2" xr3:uid="{47DC0861-E17C-4A8C-8D43-CBDDB6F0CBE9}" name="y1" dataDxfId="31"/>
    <tableColumn id="3" xr3:uid="{499378AA-0FA6-4A64-9D73-E908F3420ED5}" name="y2" dataDxfId="30"/>
    <tableColumn id="4" xr3:uid="{DDC59796-D5AD-4F0C-BD7F-4FCB4A6A0DA3}" name="y3" dataDxfId="29"/>
    <tableColumn id="5" xr3:uid="{EB329787-A2DB-485C-BE4B-982CE255A534}" name="y4" dataDxfId="28"/>
    <tableColumn id="6" xr3:uid="{840E79CE-80A4-43BE-A29F-3653525C4760}" name="Class" dataDxfId="27"/>
    <tableColumn id="7" xr3:uid="{C07C5091-9075-476A-A6CB-158BF7A10374}" name="p_y1_h0" dataDxfId="26"/>
    <tableColumn id="8" xr3:uid="{C17DB5EC-DAF1-451A-949C-E7EE7F79C52C}" name="p_y2_h0" dataDxfId="25"/>
    <tableColumn id="9" xr3:uid="{39348ADB-4931-4DB2-AF04-0A83AAF64882}" name="p_y3_y4_h0" dataDxfId="24"/>
    <tableColumn id="10" xr3:uid="{7F09DC51-73E0-4555-9FE5-DD0F0823B380}" name="p_h0_x_new" dataDxfId="23"/>
    <tableColumn id="11" xr3:uid="{BFD2F328-43DA-4EF7-9E6B-CF3C103114BA}" name="p_y1_h1" dataDxfId="22"/>
    <tableColumn id="12" xr3:uid="{791DA02C-C734-47BA-B829-D54E10A4691A}" name="p_y2_h1" dataDxfId="21"/>
    <tableColumn id="13" xr3:uid="{FBE08C64-6F75-4DAE-B540-E16C9B044A67}" name="p_y3_y4_h1" dataDxfId="20"/>
    <tableColumn id="14" xr3:uid="{C8684F66-F21C-419C-B137-87B7F6CABC51}" name="p_h1_x_new" dataDxfId="19"/>
    <tableColumn id="15" xr3:uid="{AE42BBE6-0D89-4D46-88B3-4D6F58066C68}" name="p_h0_given_x_new" dataDxfId="18"/>
    <tableColumn id="16" xr3:uid="{1C88FDA4-E263-4692-BE1E-BF9D0D0B12C3}" name="p_h1_given_x_new" dataDxfId="17"/>
    <tableColumn id="17" xr3:uid="{17E8C769-5886-4830-B99B-5831EDD515F8}" name="Estimate" dataDxfId="16"/>
    <tableColumn id="18" xr3:uid="{67964D15-5432-4DAB-90C0-2C9F7E7A9081}" name="New estimate" dataDxfId="15">
      <calculatedColumnFormula>IF(P2 &gt; THRESHOLD, "1", "0")</calculatedColumnFormula>
    </tableColumn>
    <tableColumn id="19" xr3:uid="{226C7108-C514-4213-96C5-D668370FEE45}" name="Set" dataDxfId="14"/>
    <tableColumn id="20" xr3:uid="{95119361-7D4D-4AAD-9EA6-472042F8218D}" name="Column2" dataDxfId="13"/>
    <tableColumn id="21" xr3:uid="{BBD794AF-6DF4-46AD-A5D5-D1F89D242386}" name="Column3" dataDxfId="12"/>
    <tableColumn id="22" xr3:uid="{1D3824B1-4793-4BBD-8469-570B9C7B633C}" name="Column4" dataDxfId="11"/>
    <tableColumn id="23" xr3:uid="{E2C314C6-0AE8-4DD1-81B3-CBCB3EA74558}" name="Column5" dataDxfId="10"/>
    <tableColumn id="24" xr3:uid="{7F64EE09-D1E4-451A-9A89-32E6A413C725}" name="Column6" dataDxfId="9"/>
    <tableColumn id="25" xr3:uid="{A3170B18-C178-40EE-9C1E-F70C31045DC2}" name="Column7" dataDxfId="8"/>
    <tableColumn id="26" xr3:uid="{902FC476-0124-40E6-9A32-9F0DB3384F94}" name="Column8" dataDxfId="7"/>
    <tableColumn id="27" xr3:uid="{B05B2E7C-FCA7-48CA-A6C4-ACD6034EA6E1}" name="Column9" dataDxfId="6"/>
    <tableColumn id="28" xr3:uid="{EA9DFA05-6293-420D-88D9-3023B34162CF}" name="Column10" dataDxfId="5"/>
    <tableColumn id="29" xr3:uid="{214603BF-2523-4209-8F68-A04EFAC886EF}" name="Column11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05C9-8C55-4C27-9032-6DFA63B54F23}">
  <dimension ref="A1:AB30"/>
  <sheetViews>
    <sheetView tabSelected="1" topLeftCell="C1" zoomScale="90" zoomScaleNormal="90" workbookViewId="0">
      <selection activeCell="U20" sqref="U20"/>
    </sheetView>
  </sheetViews>
  <sheetFormatPr defaultRowHeight="12.75" x14ac:dyDescent="0.2"/>
  <cols>
    <col min="1" max="1" width="11.140625" style="1" customWidth="1"/>
    <col min="2" max="6" width="9.140625" style="1"/>
    <col min="7" max="8" width="10.42578125" style="1" customWidth="1"/>
    <col min="9" max="9" width="13.42578125" style="1" customWidth="1"/>
    <col min="10" max="10" width="14.42578125" style="1" customWidth="1"/>
    <col min="11" max="12" width="10.42578125" style="1" customWidth="1"/>
    <col min="13" max="13" width="13.42578125" style="1" customWidth="1"/>
    <col min="14" max="14" width="14.42578125" style="1" customWidth="1"/>
    <col min="15" max="16" width="20.42578125" style="1" customWidth="1"/>
    <col min="17" max="17" width="10.85546875" style="1" customWidth="1"/>
    <col min="18" max="18" width="12.5703125" style="1" customWidth="1"/>
    <col min="19" max="16384" width="9.140625" style="1"/>
  </cols>
  <sheetData>
    <row r="1" spans="1:28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34</v>
      </c>
      <c r="K1" s="1" t="s">
        <v>8</v>
      </c>
      <c r="L1" s="1" t="s">
        <v>9</v>
      </c>
      <c r="M1" s="1" t="s">
        <v>10</v>
      </c>
      <c r="N1" s="1" t="s">
        <v>35</v>
      </c>
      <c r="O1" s="1" t="s">
        <v>36</v>
      </c>
      <c r="P1" s="1" t="s">
        <v>37</v>
      </c>
      <c r="Q1" s="1" t="s">
        <v>11</v>
      </c>
      <c r="R1" s="1" t="s">
        <v>54</v>
      </c>
      <c r="S1" s="1" t="s">
        <v>55</v>
      </c>
      <c r="T1" s="4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</row>
    <row r="2" spans="1:28" x14ac:dyDescent="0.2">
      <c r="A2" s="1" t="s">
        <v>12</v>
      </c>
      <c r="B2" s="1">
        <v>0.6</v>
      </c>
      <c r="C2" s="1" t="s">
        <v>13</v>
      </c>
      <c r="D2" s="1">
        <v>0.2</v>
      </c>
      <c r="E2" s="1">
        <v>0.4</v>
      </c>
      <c r="F2" s="1">
        <v>0</v>
      </c>
      <c r="G2" s="1">
        <v>0.56862374500000001</v>
      </c>
      <c r="H2" s="1">
        <v>0.5</v>
      </c>
      <c r="I2" s="1">
        <v>1.20736208</v>
      </c>
      <c r="J2" s="1">
        <v>0.13730694900000001</v>
      </c>
      <c r="K2" s="1">
        <v>0.22385195599999999</v>
      </c>
      <c r="L2" s="1">
        <v>0.16666666699999999</v>
      </c>
      <c r="M2" s="1">
        <v>1.2118617970000001</v>
      </c>
      <c r="N2" s="1">
        <v>2.7127762999999999E-2</v>
      </c>
      <c r="O2" s="1">
        <v>0.83502410800000004</v>
      </c>
      <c r="P2" s="1">
        <v>0.16497589200000001</v>
      </c>
      <c r="Q2" s="1">
        <v>0</v>
      </c>
      <c r="R2" s="1">
        <v>1</v>
      </c>
      <c r="S2" s="1">
        <v>0</v>
      </c>
      <c r="T2" s="4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</row>
    <row r="3" spans="1:28" x14ac:dyDescent="0.2">
      <c r="A3" s="1" t="s">
        <v>16</v>
      </c>
      <c r="B3" s="1">
        <v>0.2</v>
      </c>
      <c r="C3" s="1" t="s">
        <v>13</v>
      </c>
      <c r="D3" s="1">
        <v>-0.1</v>
      </c>
      <c r="E3" s="1">
        <v>0.2</v>
      </c>
      <c r="F3" s="1">
        <v>0</v>
      </c>
      <c r="G3" s="1">
        <v>1.6393293229999999</v>
      </c>
      <c r="H3" s="1">
        <v>0.5</v>
      </c>
      <c r="I3" s="1">
        <v>0.70660999000000002</v>
      </c>
      <c r="J3" s="1">
        <v>0.231673295</v>
      </c>
      <c r="K3" s="1">
        <v>1.209221342</v>
      </c>
      <c r="L3" s="1">
        <v>0.16666666699999999</v>
      </c>
      <c r="M3" s="1">
        <v>0.60786480799999998</v>
      </c>
      <c r="N3" s="1">
        <v>7.3504310000000003E-2</v>
      </c>
      <c r="O3" s="1">
        <v>0.75914251700000002</v>
      </c>
      <c r="P3" s="1">
        <v>0.24085748300000001</v>
      </c>
      <c r="Q3" s="1">
        <v>0</v>
      </c>
      <c r="R3" s="1">
        <v>1</v>
      </c>
      <c r="S3" s="1">
        <v>1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1:28" x14ac:dyDescent="0.2">
      <c r="A4" s="1" t="s">
        <v>23</v>
      </c>
      <c r="B4" s="1">
        <v>0.4</v>
      </c>
      <c r="C4" s="1" t="s">
        <v>13</v>
      </c>
      <c r="D4" s="1">
        <v>-0.4</v>
      </c>
      <c r="E4" s="1">
        <v>-0.7</v>
      </c>
      <c r="F4" s="1">
        <v>1</v>
      </c>
      <c r="G4" s="1">
        <v>1.3741242520000001</v>
      </c>
      <c r="H4" s="1">
        <v>0.5</v>
      </c>
      <c r="I4" s="1">
        <v>0.21743662899999999</v>
      </c>
      <c r="J4" s="1">
        <v>5.9756989000000003E-2</v>
      </c>
      <c r="K4" s="1">
        <v>0.662037549</v>
      </c>
      <c r="L4" s="1">
        <v>0.16666666699999999</v>
      </c>
      <c r="M4" s="1">
        <v>0.38804977000000002</v>
      </c>
      <c r="N4" s="1">
        <v>2.5690352E-2</v>
      </c>
      <c r="O4" s="1">
        <v>0.69934287500000003</v>
      </c>
      <c r="P4" s="1">
        <v>0.30065712500000003</v>
      </c>
      <c r="Q4" s="1">
        <v>0</v>
      </c>
      <c r="R4" s="1">
        <v>1</v>
      </c>
      <c r="S4" s="1">
        <v>1</v>
      </c>
      <c r="T4" s="4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</row>
    <row r="5" spans="1:28" x14ac:dyDescent="0.2">
      <c r="A5" s="1" t="s">
        <v>22</v>
      </c>
      <c r="B5" s="1">
        <v>0.2</v>
      </c>
      <c r="C5" s="1" t="s">
        <v>15</v>
      </c>
      <c r="D5" s="1">
        <v>0.5</v>
      </c>
      <c r="E5" s="1">
        <v>0.6</v>
      </c>
      <c r="F5" s="1">
        <v>1</v>
      </c>
      <c r="G5" s="1">
        <v>1.6393293229999999</v>
      </c>
      <c r="H5" s="1">
        <v>0.25</v>
      </c>
      <c r="I5" s="1">
        <v>1.0846908580000001</v>
      </c>
      <c r="J5" s="1">
        <v>0.17781655299999999</v>
      </c>
      <c r="K5" s="1">
        <v>1.209221342</v>
      </c>
      <c r="L5" s="1">
        <v>0.33333333300000001</v>
      </c>
      <c r="M5" s="1">
        <v>0.84080683599999995</v>
      </c>
      <c r="N5" s="1">
        <v>0.203344314</v>
      </c>
      <c r="O5" s="1">
        <v>0.46651313999999999</v>
      </c>
      <c r="P5" s="1">
        <v>0.53348686000000001</v>
      </c>
      <c r="Q5" s="1">
        <v>1</v>
      </c>
      <c r="R5" s="1">
        <v>1</v>
      </c>
      <c r="S5" s="1">
        <v>1</v>
      </c>
      <c r="T5" s="4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</row>
    <row r="6" spans="1:28" x14ac:dyDescent="0.2">
      <c r="A6" s="1" t="s">
        <v>17</v>
      </c>
      <c r="B6" s="1">
        <v>0.1</v>
      </c>
      <c r="C6" s="1" t="s">
        <v>18</v>
      </c>
      <c r="D6" s="1">
        <v>0.8</v>
      </c>
      <c r="E6" s="1">
        <v>0.8</v>
      </c>
      <c r="F6" s="1">
        <v>0</v>
      </c>
      <c r="G6" s="1">
        <v>1.3741242520000001</v>
      </c>
      <c r="H6" s="1">
        <v>0.25</v>
      </c>
      <c r="I6" s="1">
        <v>0.51237168200000005</v>
      </c>
      <c r="J6" s="1">
        <v>7.0406234999999998E-2</v>
      </c>
      <c r="K6" s="1">
        <v>1.364050472</v>
      </c>
      <c r="L6" s="1">
        <v>0.5</v>
      </c>
      <c r="M6" s="1">
        <v>0.20301887599999999</v>
      </c>
      <c r="N6" s="1">
        <v>8.3078397999999998E-2</v>
      </c>
      <c r="O6" s="1">
        <v>0.45871846500000002</v>
      </c>
      <c r="P6" s="1">
        <v>0.54128153499999998</v>
      </c>
      <c r="Q6" s="1">
        <v>1</v>
      </c>
      <c r="R6" s="1">
        <v>1</v>
      </c>
      <c r="S6" s="1">
        <v>1</v>
      </c>
      <c r="T6" s="4">
        <v>1</v>
      </c>
      <c r="U6" s="1">
        <v>1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</row>
    <row r="7" spans="1:28" x14ac:dyDescent="0.2">
      <c r="A7" s="1" t="s">
        <v>19</v>
      </c>
      <c r="B7" s="1">
        <v>0.3</v>
      </c>
      <c r="C7" s="1" t="s">
        <v>15</v>
      </c>
      <c r="D7" s="1">
        <v>0.1</v>
      </c>
      <c r="E7" s="1">
        <v>0.3</v>
      </c>
      <c r="F7" s="1">
        <v>1</v>
      </c>
      <c r="G7" s="1">
        <v>1.6393293229999999</v>
      </c>
      <c r="H7" s="1">
        <v>0.25</v>
      </c>
      <c r="I7" s="1">
        <v>1.174285764</v>
      </c>
      <c r="J7" s="1">
        <v>0.19250410900000001</v>
      </c>
      <c r="K7" s="1">
        <v>0.95029081400000004</v>
      </c>
      <c r="L7" s="1">
        <v>0.33333333300000001</v>
      </c>
      <c r="M7" s="1">
        <v>1.2071000670000001</v>
      </c>
      <c r="N7" s="1">
        <v>0.22941922100000001</v>
      </c>
      <c r="O7" s="1">
        <v>0.45625376699999998</v>
      </c>
      <c r="P7" s="1">
        <v>0.54374623300000002</v>
      </c>
      <c r="Q7" s="1">
        <v>1</v>
      </c>
      <c r="R7" s="1">
        <v>1</v>
      </c>
      <c r="S7" s="1">
        <v>1</v>
      </c>
      <c r="T7" s="4">
        <v>1</v>
      </c>
      <c r="U7" s="1">
        <v>1</v>
      </c>
      <c r="V7" s="1">
        <v>1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x14ac:dyDescent="0.2">
      <c r="A8" s="1" t="s">
        <v>14</v>
      </c>
      <c r="B8" s="1">
        <v>0.1</v>
      </c>
      <c r="C8" s="1" t="s">
        <v>15</v>
      </c>
      <c r="D8" s="1">
        <v>-0.1</v>
      </c>
      <c r="E8" s="1">
        <v>-0.4</v>
      </c>
      <c r="F8" s="1">
        <v>0</v>
      </c>
      <c r="G8" s="1">
        <v>1.3741242520000001</v>
      </c>
      <c r="H8" s="1">
        <v>0.25</v>
      </c>
      <c r="I8" s="1">
        <v>0.46031334600000001</v>
      </c>
      <c r="J8" s="1">
        <v>6.3252772999999998E-2</v>
      </c>
      <c r="K8" s="1">
        <v>1.364050472</v>
      </c>
      <c r="L8" s="1">
        <v>0.33333333300000001</v>
      </c>
      <c r="M8" s="1">
        <v>0.956705688</v>
      </c>
      <c r="N8" s="1">
        <v>0.26099896900000003</v>
      </c>
      <c r="O8" s="1">
        <v>0.19507304</v>
      </c>
      <c r="P8" s="1">
        <v>0.80492695999999997</v>
      </c>
      <c r="Q8" s="1">
        <v>1</v>
      </c>
      <c r="R8" s="1">
        <v>1</v>
      </c>
      <c r="S8" s="1">
        <v>1</v>
      </c>
      <c r="T8" s="4">
        <v>1</v>
      </c>
      <c r="U8" s="1">
        <v>1</v>
      </c>
      <c r="V8" s="1">
        <v>1</v>
      </c>
      <c r="W8" s="1">
        <v>1</v>
      </c>
      <c r="X8" s="1">
        <v>1</v>
      </c>
      <c r="Y8" s="1">
        <v>0</v>
      </c>
      <c r="Z8" s="1">
        <v>0</v>
      </c>
      <c r="AA8" s="1">
        <v>0</v>
      </c>
      <c r="AB8" s="1">
        <v>0</v>
      </c>
    </row>
    <row r="9" spans="1:28" x14ac:dyDescent="0.2">
      <c r="A9" s="1" t="s">
        <v>24</v>
      </c>
      <c r="B9" s="1">
        <v>-0.2</v>
      </c>
      <c r="C9" s="1" t="s">
        <v>18</v>
      </c>
      <c r="D9" s="1">
        <v>0.4</v>
      </c>
      <c r="E9" s="1">
        <v>0.3</v>
      </c>
      <c r="F9" s="1">
        <v>1</v>
      </c>
      <c r="G9" s="1">
        <v>0.28071406999999998</v>
      </c>
      <c r="H9" s="1">
        <v>0.25</v>
      </c>
      <c r="I9" s="1">
        <v>1.080395059</v>
      </c>
      <c r="J9" s="1">
        <v>3.0328208999999998E-2</v>
      </c>
      <c r="K9" s="1">
        <v>0.95029081400000004</v>
      </c>
      <c r="L9" s="1">
        <v>0.5</v>
      </c>
      <c r="M9" s="1">
        <v>1.1251825099999999</v>
      </c>
      <c r="N9" s="1">
        <v>0.32077518100000002</v>
      </c>
      <c r="O9" s="1">
        <v>8.6379710999999998E-2</v>
      </c>
      <c r="P9" s="1">
        <v>0.91362028900000003</v>
      </c>
      <c r="Q9" s="1">
        <v>1</v>
      </c>
      <c r="R9" s="1">
        <v>1</v>
      </c>
      <c r="S9" s="1">
        <v>1</v>
      </c>
      <c r="T9" s="4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v>0</v>
      </c>
    </row>
    <row r="10" spans="1:28" x14ac:dyDescent="0.2">
      <c r="A10" s="1" t="s">
        <v>20</v>
      </c>
      <c r="B10" s="1">
        <v>-0.1</v>
      </c>
      <c r="C10" s="1" t="s">
        <v>18</v>
      </c>
      <c r="D10" s="1">
        <v>0.2</v>
      </c>
      <c r="E10" s="1">
        <v>-0.2</v>
      </c>
      <c r="F10" s="1">
        <v>1</v>
      </c>
      <c r="G10" s="1">
        <v>0.56862374500000001</v>
      </c>
      <c r="H10" s="1">
        <v>0.25</v>
      </c>
      <c r="I10" s="1">
        <v>0.333778925</v>
      </c>
      <c r="J10" s="1">
        <v>1.8979461999999999E-2</v>
      </c>
      <c r="K10" s="1">
        <v>1.209221342</v>
      </c>
      <c r="L10" s="1">
        <v>0.5</v>
      </c>
      <c r="M10" s="1">
        <v>0.66981378800000002</v>
      </c>
      <c r="N10" s="1">
        <v>0.24298593800000001</v>
      </c>
      <c r="O10" s="1">
        <v>7.2450263000000001E-2</v>
      </c>
      <c r="P10" s="1">
        <v>0.92754973699999999</v>
      </c>
      <c r="Q10" s="1">
        <v>1</v>
      </c>
      <c r="R10" s="1">
        <v>1</v>
      </c>
      <c r="S10" s="1">
        <v>1</v>
      </c>
      <c r="T10" s="4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0</v>
      </c>
      <c r="AB10" s="1">
        <v>0</v>
      </c>
    </row>
    <row r="11" spans="1:28" x14ac:dyDescent="0.2">
      <c r="A11" s="1" t="s">
        <v>21</v>
      </c>
      <c r="B11" s="1">
        <v>-0.3</v>
      </c>
      <c r="C11" s="1" t="s">
        <v>18</v>
      </c>
      <c r="D11" s="1">
        <v>-0.1</v>
      </c>
      <c r="E11" s="1">
        <v>0.2</v>
      </c>
      <c r="F11" s="1">
        <v>1</v>
      </c>
      <c r="G11" s="1">
        <v>0.116161756</v>
      </c>
      <c r="H11" s="1">
        <v>0.25</v>
      </c>
      <c r="I11" s="1">
        <v>0.70660999000000002</v>
      </c>
      <c r="J11" s="1">
        <v>8.2081059999999997E-3</v>
      </c>
      <c r="K11" s="1">
        <v>0.662037549</v>
      </c>
      <c r="L11" s="1">
        <v>0.5</v>
      </c>
      <c r="M11" s="1">
        <v>0.60786480799999998</v>
      </c>
      <c r="N11" s="1">
        <v>0.120728798</v>
      </c>
      <c r="O11" s="1">
        <v>6.3659863999999997E-2</v>
      </c>
      <c r="P11" s="1">
        <v>0.93634013599999999</v>
      </c>
      <c r="Q11" s="1">
        <v>1</v>
      </c>
      <c r="R11" s="1">
        <v>1</v>
      </c>
      <c r="S11" s="1">
        <v>1</v>
      </c>
      <c r="T11" s="4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0</v>
      </c>
    </row>
    <row r="13" spans="1:28" x14ac:dyDescent="0.2">
      <c r="Q13" s="4" t="s">
        <v>26</v>
      </c>
      <c r="R13" s="1">
        <f>(COUNTIFS(F2:F11,"=0",R2:R11,"=0") + COUNTIFS(F2:F11, "=1",R2:R11, "=1")) /10</f>
        <v>0.6</v>
      </c>
      <c r="S13" s="1">
        <f>(COUNTIFS(F2:F11,"=0",S2:S11,"=0") + COUNTIFS(F2:F11, "=1",S2:S11, "=1")) /10</f>
        <v>0.7</v>
      </c>
      <c r="T13" s="4">
        <f>(COUNTIFS(F2:F11,"=0",T2:T11,"=0") + COUNTIFS(F2:F11, "=1",T2:T11, "=1")) /10</f>
        <v>0.8</v>
      </c>
      <c r="U13" s="1">
        <f>(COUNTIFS(F2:F11,"=0",U2:U11,"=0") + COUNTIFS(F2:F11, "=1",U2:U11, "=1")) /10</f>
        <v>0.7</v>
      </c>
      <c r="V13" s="1">
        <f>(COUNTIFS(F2:F11,"=0",V2:V11,"=0") + COUNTIFS(F2:F11, "=1",V2:V11, "=1")) /10</f>
        <v>0.6</v>
      </c>
      <c r="W13" s="1">
        <f>(COUNTIFS(F2:F11,"=0",W2:W11,"=0") + COUNTIFS(F2:F11, "=1",W2:W11, "=1")) /10</f>
        <v>0.7</v>
      </c>
      <c r="X13" s="1">
        <f>(COUNTIFS(F2:F11,"=0",X2:X11,"=0") + COUNTIFS(F2:F11, "=1",X2:X11, "=1")) /10</f>
        <v>0.6</v>
      </c>
      <c r="Y13" s="1">
        <f>(COUNTIFS(F2:F11,"=0",Y2:Y11,"=0") + COUNTIFS(F2:F11, "=1",Y2:Y11, "=1")) /10</f>
        <v>0.7</v>
      </c>
      <c r="Z13" s="1">
        <f>(COUNTIFS(F2:F11,"=0",Z2:Z11,"=0") + COUNTIFS(F2:F11, "=1",Z2:Z11, "=1")) /10</f>
        <v>0.6</v>
      </c>
      <c r="AA13" s="1">
        <f>(COUNTIFS(F2:F11,"=0",AA2:AA11,"=0") + COUNTIFS(F2:F11, "=1",AA2:AA11, "=1")) /10</f>
        <v>0.5</v>
      </c>
      <c r="AB13" s="1">
        <f>(COUNTIFS(F2:F11,"=0",AB2:AB11,"=0") + COUNTIFS(F2:F11, "=1",AB2:AB11, "=1")) /10</f>
        <v>0.4</v>
      </c>
    </row>
    <row r="14" spans="1:28" x14ac:dyDescent="0.2">
      <c r="Q14" s="4" t="s">
        <v>53</v>
      </c>
      <c r="R14" s="1">
        <f>0</f>
        <v>0</v>
      </c>
      <c r="S14" s="1">
        <f xml:space="preserve"> COUNTIFS(Table4[Class], "=0",Table4[Set 2], "=0") / (COUNTIFS(Table4[Class], "=0",Table4[Set 2], "=0") + COUNTIFS(Table4[Class], "=1",Table4[Set 2], "=0"))</f>
        <v>1</v>
      </c>
      <c r="T14" s="4">
        <f xml:space="preserve"> COUNTIFS(Table4[Class], "=0",Table4[Set 3], "=0") / (COUNTIFS(Table4[Class], "=0",Table4[Set 3], "=0") + COUNTIFS(Table4[Class], "=1",Table4[Set 3], "=0"))</f>
        <v>1</v>
      </c>
      <c r="U14" s="1">
        <f xml:space="preserve"> COUNTIFS(Table4[Class], "=0",Table4[Set 4], "=0") / (COUNTIFS(Table4[Class], "=0",Table4[Set 4], "=0") + COUNTIFS(Table4[Class], "=1",Table4[Set 4], "=0"))</f>
        <v>0.66666666666666663</v>
      </c>
      <c r="V14" s="1">
        <f xml:space="preserve"> COUNTIFS(Table4[Class], "=0",Table4[Set 5], "=0") / (COUNTIFS(Table4[Class], "=0",Table4[Set 5], "=0") + COUNTIFS(Table4[Class], "=1",Table4[Set 5], "=0"))</f>
        <v>0.5</v>
      </c>
      <c r="W14" s="1">
        <f xml:space="preserve"> COUNTIFS(Table4[Class], "=0",Table4[Set 6], "=0") / (COUNTIFS(Table4[Class], "=0",Table4[Set 6], "=0") + COUNTIFS(Table4[Class], "=1",Table4[Set 6], "=0"))</f>
        <v>0.6</v>
      </c>
      <c r="X14" s="1">
        <f xml:space="preserve"> COUNTIFS(Table4[Class], "=0",Table4[Set 7], "=0") / (COUNTIFS(Table4[Class], "=0",Table4[Set 7], "=0") + COUNTIFS(Table4[Class], "=1",Table4[Set 7], "=0"))</f>
        <v>0.5</v>
      </c>
      <c r="Y14" s="1">
        <f xml:space="preserve"> COUNTIFS(Table4[Class], "=0",Table4[Set 8], "=0") / (COUNTIFS(Table4[Class], "=0",Table4[Set 8], "=0") + COUNTIFS(Table4[Class], "=1",Table4[Set 8], "=0"))</f>
        <v>0.5714285714285714</v>
      </c>
      <c r="Z14" s="1">
        <f xml:space="preserve"> COUNTIFS(Table4[Class], "=0",Table4[Set 9], "=0") / (COUNTIFS(Table4[Class], "=0",Table4[Set 9], "=0") + COUNTIFS(Table4[Class], "=1",Table4[Set 9], "=0"))</f>
        <v>0.5</v>
      </c>
      <c r="AA14" s="1">
        <f xml:space="preserve"> COUNTIFS(Table4[Class], "=0",Table4[Set 10], "=0") / (COUNTIFS(Table4[Class], "=0",Table4[Set 10], "=0") + COUNTIFS(Table4[Class], "=1",Table4[Set 10], "=0"))</f>
        <v>0.44444444444444442</v>
      </c>
      <c r="AB14" s="1">
        <f xml:space="preserve"> COUNTIFS(Table4[Class], "=0",Table4[Set 11], "=0") / (COUNTIFS(Table4[Class], "=0",Table4[Set 11], "=0") + COUNTIFS(Table4[Class], "=1",Table4[Set 11], "=0"))</f>
        <v>0.4</v>
      </c>
    </row>
    <row r="15" spans="1:28" x14ac:dyDescent="0.2">
      <c r="Q15" s="4" t="s">
        <v>25</v>
      </c>
      <c r="R15" s="1">
        <f>COUNTIFS(Table4[Class], "=1",Table4[Set 1], "=1") / (COUNTIFS(Table4[Class], "=0",Table4[Set 1], "=1") + COUNTIFS(Table4[Class], "=1",Table4[Set 1], "=1"))</f>
        <v>0.6</v>
      </c>
      <c r="S15" s="1">
        <f>COUNTIFS(Table4[Class], "=1",Table4[Set 2], "=1") / (COUNTIFS(Table4[Class], "=0",Table4[Set 2], "=1") + COUNTIFS(Table4[Class], "=1",Table4[Set 2], "=1"))</f>
        <v>0.66666666666666663</v>
      </c>
      <c r="T15" s="4">
        <f>COUNTIFS(Table4[Class], "=1",Table4[Set 3], "=1") / (COUNTIFS(Table4[Class], "=0",Table4[Set 3], "=1") + COUNTIFS(Table4[Class], "=1",Table4[Set 3], "=1"))</f>
        <v>0.75</v>
      </c>
      <c r="U15" s="1">
        <f>COUNTIFS(Table4[Class], "=1",Table4[Set 4], "=1") / (COUNTIFS(Table4[Class], "=0",Table4[Set 4], "=1") + COUNTIFS(Table4[Class], "=1",Table4[Set 4], "=1"))</f>
        <v>0.7142857142857143</v>
      </c>
      <c r="V15" s="1">
        <f>COUNTIFS(Table4[Class], "=1",Table4[Set 5], "=1") / (COUNTIFS(Table4[Class], "=0",Table4[Set 5], "=1") + COUNTIFS(Table4[Class], "=1",Table4[Set 5], "=1"))</f>
        <v>0.66666666666666663</v>
      </c>
      <c r="W15" s="1">
        <f>COUNTIFS(Table4[Class], "=1",Table4[Set 6], "=1") / (COUNTIFS(Table4[Class], "=0",Table4[Set 6], "=1") + COUNTIFS(Table4[Class], "=1",Table4[Set 6], "=1"))</f>
        <v>0.8</v>
      </c>
      <c r="X15" s="1">
        <f>COUNTIFS(Table4[Class], "=1",Table4[Set 7], "=1") / (COUNTIFS(Table4[Class], "=0",Table4[Set 7], "=1") + COUNTIFS(Table4[Class], "=1",Table4[Set 7], "=1"))</f>
        <v>0.75</v>
      </c>
      <c r="Y15" s="1">
        <f>COUNTIFS(Table4[Class], "=1",Table4[Set 8], "=1") / (COUNTIFS(Table4[Class], "=0",Table4[Set 8], "=1") + COUNTIFS(Table4[Class], "=1",Table4[Set 8], "=1"))</f>
        <v>1</v>
      </c>
      <c r="Z15" s="1">
        <f>COUNTIFS(Table4[Class], "=1",Table4[Set 9], "=1") / (COUNTIFS(Table4[Class], "=0",Table4[Set 9], "=1") + COUNTIFS(Table4[Class], "=1",Table4[Set 9], "=1"))</f>
        <v>1</v>
      </c>
      <c r="AA15" s="1">
        <f>COUNTIFS(Table4[Class], "=1",Table4[Set 10], "=1") / (COUNTIFS(Table4[Class], "=0",Table4[Set 10], "=1") + COUNTIFS(Table4[Class], "=1",Table4[Set 10], "=1"))</f>
        <v>1</v>
      </c>
      <c r="AB15" s="1">
        <f>0</f>
        <v>0</v>
      </c>
    </row>
    <row r="17" spans="10:18" x14ac:dyDescent="0.2">
      <c r="J17" s="3"/>
      <c r="K17" s="29" t="s">
        <v>38</v>
      </c>
      <c r="L17" s="29"/>
      <c r="M17" s="29"/>
      <c r="O17" s="3"/>
      <c r="P17" s="29" t="s">
        <v>52</v>
      </c>
      <c r="Q17" s="29"/>
      <c r="R17" s="29"/>
    </row>
    <row r="18" spans="10:18" x14ac:dyDescent="0.2">
      <c r="J18" s="3"/>
      <c r="K18" s="8"/>
      <c r="L18" s="30" t="s">
        <v>29</v>
      </c>
      <c r="M18" s="30"/>
      <c r="O18" s="3"/>
      <c r="P18" s="8"/>
      <c r="Q18" s="30" t="s">
        <v>29</v>
      </c>
      <c r="R18" s="30"/>
    </row>
    <row r="19" spans="10:18" x14ac:dyDescent="0.2">
      <c r="J19" s="8"/>
      <c r="K19" s="9"/>
      <c r="L19" s="10">
        <v>0</v>
      </c>
      <c r="M19" s="11">
        <v>1</v>
      </c>
      <c r="O19" s="8"/>
      <c r="P19" s="9"/>
      <c r="Q19" s="10">
        <v>0</v>
      </c>
      <c r="R19" s="11">
        <v>1</v>
      </c>
    </row>
    <row r="20" spans="10:18" x14ac:dyDescent="0.2">
      <c r="J20" s="31" t="s">
        <v>30</v>
      </c>
      <c r="K20" s="12">
        <v>0</v>
      </c>
      <c r="L20" s="13">
        <f>COUNTIFS(Table4[Class], "=0",Table4[Estimate], "=0")</f>
        <v>2</v>
      </c>
      <c r="M20" s="14">
        <f>COUNTIFS(Table4[Class], "=0",Table4[Estimate], "=1")</f>
        <v>2</v>
      </c>
      <c r="O20" s="31" t="s">
        <v>30</v>
      </c>
      <c r="P20" s="12">
        <v>0</v>
      </c>
      <c r="Q20" s="13">
        <f>COUNTIFS(Table4[Class], "=0",Table4[Set 3], "=0")</f>
        <v>2</v>
      </c>
      <c r="R20" s="14">
        <f>COUNTIFS(Table4[Class], "=0",Table4[Set 3], "=1")</f>
        <v>2</v>
      </c>
    </row>
    <row r="21" spans="10:18" x14ac:dyDescent="0.2">
      <c r="J21" s="31"/>
      <c r="K21" s="11">
        <v>1</v>
      </c>
      <c r="L21" s="16">
        <f>COUNTIFS(Table4[Class], "=1",Table4[Estimate], "=0")</f>
        <v>1</v>
      </c>
      <c r="M21" s="9">
        <f>COUNTIFS(Table4[Class], "=1",Table4[Estimate], "=1")</f>
        <v>5</v>
      </c>
      <c r="O21" s="31"/>
      <c r="P21" s="11">
        <v>1</v>
      </c>
      <c r="Q21" s="16">
        <f>COUNTIFS(Table4[Class], "=1",Table4[Set 3], "=0")</f>
        <v>0</v>
      </c>
      <c r="R21" s="9">
        <f>COUNTIFS(Table4[Class], "=1",Table4[Set 3], "=1")</f>
        <v>6</v>
      </c>
    </row>
    <row r="22" spans="10:18" x14ac:dyDescent="0.2">
      <c r="J22" s="23"/>
      <c r="K22" s="3"/>
      <c r="L22" s="3"/>
      <c r="M22" s="8"/>
      <c r="O22" s="23"/>
      <c r="P22" s="3"/>
      <c r="Q22" s="3"/>
      <c r="R22" s="8"/>
    </row>
    <row r="23" spans="10:18" x14ac:dyDescent="0.2">
      <c r="J23" s="3"/>
      <c r="K23" s="3"/>
      <c r="L23" s="3"/>
      <c r="M23" s="3"/>
      <c r="O23" s="3"/>
      <c r="P23" s="3"/>
      <c r="Q23" s="3"/>
      <c r="R23" s="3"/>
    </row>
    <row r="24" spans="10:18" x14ac:dyDescent="0.2">
      <c r="J24" s="3"/>
      <c r="K24" s="3"/>
      <c r="L24" s="3"/>
      <c r="M24" s="3"/>
      <c r="O24" s="3"/>
      <c r="P24" s="3"/>
      <c r="Q24" s="3"/>
      <c r="R24" s="3"/>
    </row>
    <row r="25" spans="10:18" x14ac:dyDescent="0.2">
      <c r="J25" s="3"/>
      <c r="K25" s="18" t="s">
        <v>31</v>
      </c>
      <c r="L25" s="15" t="s">
        <v>32</v>
      </c>
      <c r="M25" s="3"/>
      <c r="O25" s="3"/>
      <c r="P25" s="18" t="s">
        <v>31</v>
      </c>
      <c r="Q25" s="15" t="s">
        <v>32</v>
      </c>
      <c r="R25" s="3"/>
    </row>
    <row r="26" spans="10:18" ht="25.5" x14ac:dyDescent="0.2">
      <c r="J26" s="3"/>
      <c r="K26" s="28" t="s">
        <v>33</v>
      </c>
      <c r="L26" s="20">
        <f>M21/(M21+L21)</f>
        <v>0.83333333333333337</v>
      </c>
      <c r="M26" s="3"/>
      <c r="O26" s="3"/>
      <c r="P26" s="19" t="s">
        <v>33</v>
      </c>
      <c r="Q26" s="20">
        <f>R21/(R21+Q21)</f>
        <v>1</v>
      </c>
      <c r="R26" s="3"/>
    </row>
    <row r="27" spans="10:18" x14ac:dyDescent="0.2">
      <c r="J27" s="3"/>
      <c r="K27" s="21" t="s">
        <v>25</v>
      </c>
      <c r="L27" s="22">
        <f>M21/(M20+M21)</f>
        <v>0.7142857142857143</v>
      </c>
      <c r="M27" s="3"/>
      <c r="O27" s="3"/>
      <c r="P27" s="21" t="s">
        <v>25</v>
      </c>
      <c r="Q27" s="22">
        <f>R21/(R20+R21)</f>
        <v>0.75</v>
      </c>
      <c r="R27" s="3"/>
    </row>
    <row r="28" spans="10:18" x14ac:dyDescent="0.2">
      <c r="J28" s="3"/>
      <c r="K28" s="21" t="s">
        <v>26</v>
      </c>
      <c r="L28" s="22">
        <f>(L20+M21)/(L20+L21+M20+M21)</f>
        <v>0.7</v>
      </c>
      <c r="M28" s="3"/>
      <c r="O28" s="3"/>
      <c r="P28" s="21" t="s">
        <v>26</v>
      </c>
      <c r="Q28" s="22">
        <f>(Q20+R21)/(Q20+Q21+R20+R21)</f>
        <v>0.8</v>
      </c>
      <c r="R28" s="3"/>
    </row>
    <row r="29" spans="10:18" x14ac:dyDescent="0.2">
      <c r="J29" s="3"/>
      <c r="K29" s="16" t="s">
        <v>27</v>
      </c>
      <c r="L29" s="9">
        <f>(2*L27*L26)/(L27+L26)</f>
        <v>0.76923076923076916</v>
      </c>
      <c r="M29" s="3"/>
      <c r="O29" s="3"/>
      <c r="P29" s="16" t="s">
        <v>27</v>
      </c>
      <c r="Q29" s="9">
        <f>(2*Q27*Q26)/(Q27+Q26)</f>
        <v>0.8571428571428571</v>
      </c>
      <c r="R29" s="3"/>
    </row>
    <row r="30" spans="10:18" x14ac:dyDescent="0.2">
      <c r="P30" s="1" t="s">
        <v>53</v>
      </c>
      <c r="Q30" s="1">
        <f>Q20/(Q20+Q21)</f>
        <v>1</v>
      </c>
    </row>
  </sheetData>
  <mergeCells count="6">
    <mergeCell ref="K17:M17"/>
    <mergeCell ref="L18:M18"/>
    <mergeCell ref="J20:J21"/>
    <mergeCell ref="P17:R17"/>
    <mergeCell ref="Q18:R18"/>
    <mergeCell ref="O20:O21"/>
  </mergeCells>
  <phoneticPr fontId="6" type="noConversion"/>
  <conditionalFormatting sqref="R13:AB13">
    <cfRule type="top10" dxfId="0" priority="4" rank="1"/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B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AB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"/>
  <sheetViews>
    <sheetView topLeftCell="B1" zoomScale="85" zoomScaleNormal="85" workbookViewId="0">
      <selection activeCell="P13" sqref="P13"/>
    </sheetView>
  </sheetViews>
  <sheetFormatPr defaultColWidth="11.5703125" defaultRowHeight="12.75" x14ac:dyDescent="0.2"/>
  <cols>
    <col min="1" max="1" width="11.140625" style="3" customWidth="1"/>
    <col min="2" max="5" width="5.140625" style="3" customWidth="1"/>
    <col min="6" max="6" width="7.85546875" style="4" customWidth="1"/>
    <col min="7" max="7" width="13.140625" style="3" customWidth="1"/>
    <col min="8" max="8" width="7.28515625" style="3" customWidth="1"/>
    <col min="9" max="9" width="13.28515625" style="3" customWidth="1"/>
    <col min="10" max="10" width="13.5703125" style="3" customWidth="1"/>
    <col min="11" max="11" width="13.140625" style="3" customWidth="1"/>
    <col min="12" max="12" width="12.85546875" style="3" customWidth="1"/>
    <col min="13" max="13" width="19.5703125" style="3" customWidth="1"/>
    <col min="14" max="14" width="20.5703125" style="3" customWidth="1"/>
    <col min="15" max="15" width="20.42578125" style="3" customWidth="1"/>
    <col min="16" max="16" width="27.7109375" style="3" customWidth="1"/>
    <col min="17" max="17" width="14.42578125" style="5" customWidth="1"/>
    <col min="18" max="18" width="24.85546875" style="5" customWidth="1"/>
    <col min="19" max="19" width="14.28515625" style="3" customWidth="1"/>
    <col min="20" max="29" width="14.5703125" style="1" customWidth="1"/>
    <col min="30" max="16384" width="11.5703125" style="3"/>
  </cols>
  <sheetData>
    <row r="1" spans="1:29" ht="25.5" x14ac:dyDescent="0.2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34</v>
      </c>
      <c r="K1" s="3" t="s">
        <v>8</v>
      </c>
      <c r="L1" s="3" t="s">
        <v>9</v>
      </c>
      <c r="M1" s="3" t="s">
        <v>10</v>
      </c>
      <c r="N1" s="3" t="s">
        <v>35</v>
      </c>
      <c r="O1" s="3" t="s">
        <v>36</v>
      </c>
      <c r="P1" s="3" t="s">
        <v>37</v>
      </c>
      <c r="Q1" s="5" t="s">
        <v>11</v>
      </c>
      <c r="R1" s="5" t="s">
        <v>41</v>
      </c>
      <c r="S1" s="3" t="s">
        <v>42</v>
      </c>
      <c r="T1" s="8" t="s">
        <v>40</v>
      </c>
      <c r="U1" s="8" t="s">
        <v>43</v>
      </c>
      <c r="V1" s="8" t="s">
        <v>44</v>
      </c>
      <c r="W1" s="8" t="s">
        <v>45</v>
      </c>
      <c r="X1" s="8" t="s">
        <v>46</v>
      </c>
      <c r="Y1" s="8" t="s">
        <v>47</v>
      </c>
      <c r="Z1" s="8" t="s">
        <v>48</v>
      </c>
      <c r="AA1" s="8" t="s">
        <v>49</v>
      </c>
      <c r="AB1" s="8" t="s">
        <v>50</v>
      </c>
      <c r="AC1" s="8" t="s">
        <v>51</v>
      </c>
    </row>
    <row r="2" spans="1:29" x14ac:dyDescent="0.2">
      <c r="A2" s="3" t="s">
        <v>16</v>
      </c>
      <c r="B2" s="3">
        <v>0.2</v>
      </c>
      <c r="C2" s="3" t="s">
        <v>13</v>
      </c>
      <c r="D2" s="3">
        <v>-0.1</v>
      </c>
      <c r="E2" s="3">
        <v>0.2</v>
      </c>
      <c r="F2" s="4">
        <v>0</v>
      </c>
      <c r="G2" s="3">
        <v>1.6393293226109</v>
      </c>
      <c r="H2" s="3">
        <v>0.5</v>
      </c>
      <c r="I2" s="3">
        <v>0.70660999049832296</v>
      </c>
      <c r="J2" s="3">
        <v>0.23167329541474299</v>
      </c>
      <c r="K2" s="3">
        <v>0.36590686408885897</v>
      </c>
      <c r="L2" s="3">
        <v>0.16666666666666599</v>
      </c>
      <c r="M2" s="3">
        <v>0.607864807556729</v>
      </c>
      <c r="N2" s="3">
        <v>2.2242190552306002E-2</v>
      </c>
      <c r="O2" s="3">
        <v>0.912403174357028</v>
      </c>
      <c r="P2" s="3">
        <v>8.7596825642971596E-2</v>
      </c>
      <c r="Q2" s="5">
        <v>0</v>
      </c>
      <c r="R2" s="6" t="str">
        <f t="shared" ref="R2:R11" si="0">IF(P2 &gt; THRESHOLD, "1", "0")</f>
        <v>0</v>
      </c>
      <c r="S2" s="3">
        <v>1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</row>
    <row r="3" spans="1:29" x14ac:dyDescent="0.2">
      <c r="A3" s="3" t="s">
        <v>23</v>
      </c>
      <c r="B3" s="3">
        <v>0.4</v>
      </c>
      <c r="C3" s="3" t="s">
        <v>13</v>
      </c>
      <c r="D3" s="3">
        <v>-0.4</v>
      </c>
      <c r="E3" s="3">
        <v>-0.7</v>
      </c>
      <c r="F3" s="4">
        <v>1</v>
      </c>
      <c r="G3" s="3">
        <v>1.3741242516705801</v>
      </c>
      <c r="H3" s="3">
        <v>0.5</v>
      </c>
      <c r="I3" s="3">
        <v>0.21743662854985901</v>
      </c>
      <c r="J3" s="3">
        <v>5.9756988898370098E-2</v>
      </c>
      <c r="K3" s="3">
        <v>0.35054783886860302</v>
      </c>
      <c r="L3" s="3">
        <v>0.16666666666666599</v>
      </c>
      <c r="M3" s="3">
        <v>0.388049769619146</v>
      </c>
      <c r="N3" s="3">
        <v>1.3603000811345099E-2</v>
      </c>
      <c r="O3" s="3">
        <v>0.81457193675773298</v>
      </c>
      <c r="P3" s="3">
        <v>0.18542806324226599</v>
      </c>
      <c r="Q3" s="5">
        <v>0</v>
      </c>
      <c r="R3" s="6" t="str">
        <f t="shared" si="0"/>
        <v>0</v>
      </c>
      <c r="S3" s="3">
        <v>1</v>
      </c>
      <c r="T3" s="8">
        <v>1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</row>
    <row r="4" spans="1:29" x14ac:dyDescent="0.2">
      <c r="A4" s="3" t="s">
        <v>12</v>
      </c>
      <c r="B4" s="3">
        <v>0.6</v>
      </c>
      <c r="C4" s="3" t="s">
        <v>13</v>
      </c>
      <c r="D4" s="3">
        <v>0.2</v>
      </c>
      <c r="E4" s="3">
        <v>0.4</v>
      </c>
      <c r="F4" s="4">
        <v>0</v>
      </c>
      <c r="G4" s="3">
        <v>0.56862374461733101</v>
      </c>
      <c r="H4" s="3">
        <v>0.5</v>
      </c>
      <c r="I4" s="3">
        <v>1.2073620797939799</v>
      </c>
      <c r="J4" s="3">
        <v>0.137306949384284</v>
      </c>
      <c r="K4" s="3">
        <v>0.32450801023115</v>
      </c>
      <c r="L4" s="3">
        <v>0.16666666666666599</v>
      </c>
      <c r="M4" s="3">
        <v>1.2118617969040899</v>
      </c>
      <c r="N4" s="3">
        <v>3.93258860388494E-2</v>
      </c>
      <c r="O4" s="3">
        <v>0.77735800965521495</v>
      </c>
      <c r="P4" s="3">
        <v>0.22264199034478499</v>
      </c>
      <c r="Q4" s="5">
        <v>0</v>
      </c>
      <c r="R4" s="6" t="str">
        <f t="shared" si="0"/>
        <v>0</v>
      </c>
      <c r="S4" s="3">
        <v>1</v>
      </c>
      <c r="T4" s="8">
        <v>1</v>
      </c>
      <c r="U4" s="8">
        <v>1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</row>
    <row r="5" spans="1:29" x14ac:dyDescent="0.2">
      <c r="A5" s="3" t="s">
        <v>17</v>
      </c>
      <c r="B5" s="3">
        <v>0.1</v>
      </c>
      <c r="C5" s="3" t="s">
        <v>18</v>
      </c>
      <c r="D5" s="3">
        <v>0.8</v>
      </c>
      <c r="E5" s="3">
        <v>0.8</v>
      </c>
      <c r="F5" s="4">
        <v>0</v>
      </c>
      <c r="G5" s="3">
        <v>1.3741242516705801</v>
      </c>
      <c r="H5" s="3">
        <v>0.25</v>
      </c>
      <c r="I5" s="3">
        <v>0.51237168156461299</v>
      </c>
      <c r="J5" s="3">
        <v>7.0406235350717494E-2</v>
      </c>
      <c r="K5" s="3">
        <v>0.369058497264035</v>
      </c>
      <c r="L5" s="3">
        <v>0.5</v>
      </c>
      <c r="M5" s="3">
        <v>0.20301887559426501</v>
      </c>
      <c r="N5" s="3">
        <v>2.2477752342916098E-2</v>
      </c>
      <c r="O5" s="3">
        <v>0.75800185908192996</v>
      </c>
      <c r="P5" s="3">
        <v>0.24199814091806901</v>
      </c>
      <c r="Q5" s="5">
        <v>0</v>
      </c>
      <c r="R5" s="6" t="str">
        <f t="shared" si="0"/>
        <v>0</v>
      </c>
      <c r="S5" s="3">
        <v>1</v>
      </c>
      <c r="T5" s="8">
        <v>1</v>
      </c>
      <c r="U5" s="8">
        <v>1</v>
      </c>
      <c r="V5" s="8">
        <v>1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</row>
    <row r="6" spans="1:29" x14ac:dyDescent="0.2">
      <c r="A6" s="3" t="s">
        <v>22</v>
      </c>
      <c r="B6" s="3">
        <v>0.2</v>
      </c>
      <c r="C6" s="3" t="s">
        <v>15</v>
      </c>
      <c r="D6" s="3">
        <v>0.5</v>
      </c>
      <c r="E6" s="3">
        <v>0.6</v>
      </c>
      <c r="F6" s="4">
        <v>1</v>
      </c>
      <c r="G6" s="3">
        <v>1.6393293226109</v>
      </c>
      <c r="H6" s="3">
        <v>0.25</v>
      </c>
      <c r="I6" s="3">
        <v>1.0846908583841499</v>
      </c>
      <c r="J6" s="3">
        <v>0.17781655301171301</v>
      </c>
      <c r="K6" s="3">
        <v>0.36590686408885897</v>
      </c>
      <c r="L6" s="3">
        <v>0.33333333333333298</v>
      </c>
      <c r="M6" s="3">
        <v>0.84080683615668295</v>
      </c>
      <c r="N6" s="3">
        <v>6.1531398544513297E-2</v>
      </c>
      <c r="O6" s="3">
        <v>0.74292072213511795</v>
      </c>
      <c r="P6" s="3">
        <v>0.257079277864881</v>
      </c>
      <c r="Q6" s="5">
        <v>0</v>
      </c>
      <c r="R6" s="6" t="str">
        <f t="shared" si="0"/>
        <v>1</v>
      </c>
      <c r="S6" s="3">
        <v>1</v>
      </c>
      <c r="T6" s="8">
        <v>1</v>
      </c>
      <c r="U6" s="8">
        <v>1</v>
      </c>
      <c r="V6" s="8">
        <v>1</v>
      </c>
      <c r="W6" s="8">
        <v>1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</row>
    <row r="7" spans="1:29" x14ac:dyDescent="0.2">
      <c r="A7" s="3" t="s">
        <v>19</v>
      </c>
      <c r="B7" s="3">
        <v>0.3</v>
      </c>
      <c r="C7" s="3" t="s">
        <v>15</v>
      </c>
      <c r="D7" s="3">
        <v>0.1</v>
      </c>
      <c r="E7" s="3">
        <v>0.3</v>
      </c>
      <c r="F7" s="4">
        <v>1</v>
      </c>
      <c r="G7" s="3">
        <v>1.6393293226109</v>
      </c>
      <c r="H7" s="3">
        <v>0.25</v>
      </c>
      <c r="I7" s="3">
        <v>1.1742857643081299</v>
      </c>
      <c r="J7" s="3">
        <v>0.192504108655488</v>
      </c>
      <c r="K7" s="3">
        <v>0.35968410950722002</v>
      </c>
      <c r="L7" s="3">
        <v>0.33333333333333298</v>
      </c>
      <c r="M7" s="3">
        <v>1.2071000671019001</v>
      </c>
      <c r="N7" s="3">
        <v>8.6834942544330898E-2</v>
      </c>
      <c r="O7" s="3">
        <v>0.68914141373589999</v>
      </c>
      <c r="P7" s="3">
        <v>0.31085858626409901</v>
      </c>
      <c r="Q7" s="5">
        <v>0</v>
      </c>
      <c r="R7" s="6" t="str">
        <f t="shared" si="0"/>
        <v>1</v>
      </c>
      <c r="S7" s="3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0</v>
      </c>
      <c r="Z7" s="8">
        <v>0</v>
      </c>
      <c r="AA7" s="8">
        <v>0</v>
      </c>
      <c r="AB7" s="8">
        <v>0</v>
      </c>
      <c r="AC7" s="8">
        <v>0</v>
      </c>
    </row>
    <row r="8" spans="1:29" x14ac:dyDescent="0.2">
      <c r="A8" s="3" t="s">
        <v>14</v>
      </c>
      <c r="B8" s="3">
        <v>0.1</v>
      </c>
      <c r="C8" s="3" t="s">
        <v>15</v>
      </c>
      <c r="D8" s="3">
        <v>-0.1</v>
      </c>
      <c r="E8" s="3">
        <v>-0.4</v>
      </c>
      <c r="F8" s="4">
        <v>0</v>
      </c>
      <c r="G8" s="3">
        <v>1.3741242516705801</v>
      </c>
      <c r="H8" s="3">
        <v>0.25</v>
      </c>
      <c r="I8" s="3">
        <v>0.46031334625225601</v>
      </c>
      <c r="J8" s="3">
        <v>6.3252773245286498E-2</v>
      </c>
      <c r="K8" s="3">
        <v>0.369058497264035</v>
      </c>
      <c r="L8" s="3">
        <v>0.33333333333333298</v>
      </c>
      <c r="M8" s="3">
        <v>0.95670568822187096</v>
      </c>
      <c r="N8" s="3">
        <v>7.0616072723823697E-2</v>
      </c>
      <c r="O8" s="3">
        <v>0.47249808413140298</v>
      </c>
      <c r="P8" s="3">
        <v>0.52750191586859596</v>
      </c>
      <c r="Q8" s="5">
        <v>1</v>
      </c>
      <c r="R8" s="6" t="str">
        <f t="shared" si="0"/>
        <v>1</v>
      </c>
      <c r="S8" s="3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0</v>
      </c>
      <c r="AA8" s="8">
        <v>0</v>
      </c>
      <c r="AB8" s="8">
        <v>0</v>
      </c>
      <c r="AC8" s="8">
        <v>0</v>
      </c>
    </row>
    <row r="9" spans="1:29" x14ac:dyDescent="0.2">
      <c r="A9" s="3" t="s">
        <v>20</v>
      </c>
      <c r="B9" s="3">
        <v>-0.1</v>
      </c>
      <c r="C9" s="3" t="s">
        <v>18</v>
      </c>
      <c r="D9" s="3">
        <v>0.2</v>
      </c>
      <c r="E9" s="3">
        <v>-0.2</v>
      </c>
      <c r="F9" s="4">
        <v>1</v>
      </c>
      <c r="G9" s="3">
        <v>0.56862374461733101</v>
      </c>
      <c r="H9" s="3">
        <v>0.25</v>
      </c>
      <c r="I9" s="3">
        <v>0.33377892534405401</v>
      </c>
      <c r="J9" s="3">
        <v>1.89794622403484E-2</v>
      </c>
      <c r="K9" s="3">
        <v>0.36590686408885897</v>
      </c>
      <c r="L9" s="3">
        <v>0.5</v>
      </c>
      <c r="M9" s="3">
        <v>0.669813787963907</v>
      </c>
      <c r="N9" s="3">
        <v>7.3526838803205999E-2</v>
      </c>
      <c r="O9" s="3">
        <v>0.205169399557036</v>
      </c>
      <c r="P9" s="3">
        <v>0.79483060044296305</v>
      </c>
      <c r="Q9" s="5">
        <v>1</v>
      </c>
      <c r="R9" s="6" t="str">
        <f t="shared" si="0"/>
        <v>1</v>
      </c>
      <c r="S9" s="3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0</v>
      </c>
      <c r="AB9" s="8">
        <v>0</v>
      </c>
      <c r="AC9" s="8">
        <v>0</v>
      </c>
    </row>
    <row r="10" spans="1:29" x14ac:dyDescent="0.2">
      <c r="A10" s="3" t="s">
        <v>24</v>
      </c>
      <c r="B10" s="3">
        <v>-0.2</v>
      </c>
      <c r="C10" s="3" t="s">
        <v>18</v>
      </c>
      <c r="D10" s="3">
        <v>0.4</v>
      </c>
      <c r="E10" s="3">
        <v>0.3</v>
      </c>
      <c r="F10" s="4">
        <v>1</v>
      </c>
      <c r="G10" s="3">
        <v>0.28071406954950601</v>
      </c>
      <c r="H10" s="3">
        <v>0.25</v>
      </c>
      <c r="I10" s="3">
        <v>1.0803950586304201</v>
      </c>
      <c r="J10" s="3">
        <v>3.0328209362932401E-2</v>
      </c>
      <c r="K10" s="3">
        <v>0.35968410950722002</v>
      </c>
      <c r="L10" s="3">
        <v>0.5</v>
      </c>
      <c r="M10" s="3">
        <v>1.1251825101728901</v>
      </c>
      <c r="N10" s="3">
        <v>0.121413080761391</v>
      </c>
      <c r="O10" s="3">
        <v>0.199867876028233</v>
      </c>
      <c r="P10" s="3">
        <v>0.80013212397176703</v>
      </c>
      <c r="Q10" s="5">
        <v>1</v>
      </c>
      <c r="R10" s="6" t="str">
        <f t="shared" si="0"/>
        <v>1</v>
      </c>
      <c r="S10" s="3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0</v>
      </c>
      <c r="AC10" s="8">
        <v>0</v>
      </c>
    </row>
    <row r="11" spans="1:29" x14ac:dyDescent="0.2">
      <c r="A11" s="3" t="s">
        <v>21</v>
      </c>
      <c r="B11" s="3">
        <v>-0.3</v>
      </c>
      <c r="C11" s="3" t="s">
        <v>18</v>
      </c>
      <c r="D11" s="3">
        <v>-0.1</v>
      </c>
      <c r="E11" s="3">
        <v>0.2</v>
      </c>
      <c r="F11" s="4">
        <v>1</v>
      </c>
      <c r="G11" s="3">
        <v>0.11616175553262501</v>
      </c>
      <c r="H11" s="3">
        <v>0.25</v>
      </c>
      <c r="I11" s="3">
        <v>0.70660999049832296</v>
      </c>
      <c r="J11" s="3">
        <v>8.2081056973177004E-3</v>
      </c>
      <c r="K11" s="3">
        <v>0.35054783886860302</v>
      </c>
      <c r="L11" s="3">
        <v>0.5</v>
      </c>
      <c r="M11" s="3">
        <v>0.607864807556729</v>
      </c>
      <c r="N11" s="3">
        <v>6.3925708383987201E-2</v>
      </c>
      <c r="O11" s="3">
        <v>0.113789986039917</v>
      </c>
      <c r="P11" s="3">
        <v>0.88621001396008203</v>
      </c>
      <c r="Q11" s="5">
        <v>1</v>
      </c>
      <c r="R11" s="6" t="str">
        <f t="shared" si="0"/>
        <v>1</v>
      </c>
      <c r="S11" s="3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0</v>
      </c>
    </row>
    <row r="12" spans="1:29" x14ac:dyDescent="0.2">
      <c r="I12" s="7"/>
      <c r="AB12" s="2"/>
    </row>
    <row r="14" spans="1:29" x14ac:dyDescent="0.2">
      <c r="R14" s="27" t="s">
        <v>26</v>
      </c>
      <c r="S14" s="3">
        <f>(COUNTIFS(F2:F11,"=0",S2:S11,"=0") + COUNTIFS(F2:F11, "=1",S2:S11, "=1")) /10</f>
        <v>0.6</v>
      </c>
      <c r="T14" s="3">
        <f>(COUNTIFS(F2:F11,"=0",T2:T11,"=0") + COUNTIFS(F2:F11, "=1",T2:T11, "=1")) /10</f>
        <v>0.7</v>
      </c>
      <c r="U14" s="3">
        <f>(COUNTIFS(F2:F11,"=0",U2:U11,"=0") + COUNTIFS(F2:F11, "=1",U2:U11, "=1")) /10</f>
        <v>0.6</v>
      </c>
      <c r="V14" s="3">
        <f>(COUNTIFS(F2:F11,"=0",V2:V11,"=0") + COUNTIFS(F2:F11, "=1",V2:V11, "=1")) /10</f>
        <v>0.7</v>
      </c>
      <c r="W14" s="3">
        <f>(COUNTIFS(F2:F11,"=0",W2:W11,"=0") + COUNTIFS(F2:F11, "=1",W2:W11, "=1")) /10</f>
        <v>0.8</v>
      </c>
      <c r="X14" s="3">
        <f>(COUNTIFS(F2:F11,"=0",X2:X11,"=0") + COUNTIFS(F2:F11, "=1",X2:X11, "=1")) /10</f>
        <v>0.7</v>
      </c>
      <c r="Y14" s="3">
        <f>(COUNTIFS(F2:F11,"=0",Y2:Y11,"=0") + COUNTIFS(F2:F11, "=1",Y2:Y11, "=1")) /10</f>
        <v>0.6</v>
      </c>
      <c r="Z14" s="3">
        <f>(COUNTIFS(F2:F11,"=0",Z2:Z11,"=0") + COUNTIFS(F2:F11, "=1",Z2:Z11, "=1")) /10</f>
        <v>0.7</v>
      </c>
      <c r="AA14" s="3">
        <f>(COUNTIFS(F2:F11,"=0",AA2:AA11,"=0") + COUNTIFS(F2:F11, "=1",AA2:AA11, "=1")) /10</f>
        <v>0.6</v>
      </c>
      <c r="AB14" s="3">
        <f>(COUNTIFS(F2:F11,"=0",AB2:AB11,"=0") + COUNTIFS(F2:F11, "=1",AB2:AB11, "=1")) /10</f>
        <v>0.5</v>
      </c>
      <c r="AC14" s="3">
        <f>(COUNTIFS(F2:F11,"=0",AC2:AC11,"=0") + COUNTIFS(F2:F11, "=1",AC2:AC11, "=1")) /10</f>
        <v>0.4</v>
      </c>
    </row>
    <row r="17" spans="7:17" x14ac:dyDescent="0.2">
      <c r="G17" s="5" t="s">
        <v>28</v>
      </c>
      <c r="H17" s="3">
        <v>0.25</v>
      </c>
    </row>
    <row r="18" spans="7:17" x14ac:dyDescent="0.2">
      <c r="J18" s="29" t="s">
        <v>38</v>
      </c>
      <c r="K18" s="29"/>
      <c r="L18" s="29"/>
      <c r="O18" s="29" t="str">
        <f>CONCATENATE("Confusion matrix (w/ threshold = ", THRESHOLD, ")")</f>
        <v>Confusion matrix (w/ threshold = 0.25)</v>
      </c>
      <c r="P18" s="29"/>
      <c r="Q18" s="29"/>
    </row>
    <row r="19" spans="7:17" x14ac:dyDescent="0.2">
      <c r="J19" s="8"/>
      <c r="K19" s="30" t="s">
        <v>29</v>
      </c>
      <c r="L19" s="30"/>
      <c r="O19" s="8"/>
      <c r="P19" s="30" t="s">
        <v>29</v>
      </c>
      <c r="Q19" s="30"/>
    </row>
    <row r="20" spans="7:17" x14ac:dyDescent="0.2">
      <c r="I20" s="8"/>
      <c r="J20" s="9"/>
      <c r="K20" s="10">
        <v>0</v>
      </c>
      <c r="L20" s="11">
        <v>1</v>
      </c>
      <c r="N20" s="8"/>
      <c r="O20" s="9"/>
      <c r="P20" s="10">
        <v>0</v>
      </c>
      <c r="Q20" s="11">
        <v>1</v>
      </c>
    </row>
    <row r="21" spans="7:17" x14ac:dyDescent="0.2">
      <c r="I21" s="31" t="s">
        <v>30</v>
      </c>
      <c r="J21" s="12">
        <v>0</v>
      </c>
      <c r="K21" s="13">
        <f>COUNTIFS(F2:F11, "=0",Q2:Q11, "=0")</f>
        <v>3</v>
      </c>
      <c r="L21" s="14">
        <f>COUNTIFS(F2:F11, "=0",Q2:Q11, "=1")</f>
        <v>1</v>
      </c>
      <c r="N21" s="31" t="s">
        <v>30</v>
      </c>
      <c r="O21" s="12">
        <v>0</v>
      </c>
      <c r="P21" s="13">
        <f>COUNTIFS(F2:F11, "=0",R2:R11, "=0")</f>
        <v>3</v>
      </c>
      <c r="Q21" s="15">
        <f>COUNTIFS(F2:F11, "=0",R2:R11, "=1")</f>
        <v>1</v>
      </c>
    </row>
    <row r="22" spans="7:17" x14ac:dyDescent="0.2">
      <c r="I22" s="31"/>
      <c r="J22" s="11">
        <v>1</v>
      </c>
      <c r="K22" s="16">
        <f>COUNTIFS(F2:F11, "=1",Q2:Q11, "=0")</f>
        <v>3</v>
      </c>
      <c r="L22" s="9">
        <f>COUNTIFS(F2:F11, "=1",Q2:Q11, "=1")</f>
        <v>3</v>
      </c>
      <c r="N22" s="31"/>
      <c r="O22" s="11">
        <v>1</v>
      </c>
      <c r="P22" s="16">
        <f>COUNTIFS(F2:F11, "=1",R2:R11, "=0")</f>
        <v>1</v>
      </c>
      <c r="Q22" s="17">
        <f>COUNTIFS(F2:F11, "=1",R2:R11, "=1")</f>
        <v>5</v>
      </c>
    </row>
    <row r="23" spans="7:17" x14ac:dyDescent="0.2">
      <c r="I23" s="23"/>
      <c r="L23" s="8"/>
      <c r="M23" s="8"/>
    </row>
    <row r="25" spans="7:17" x14ac:dyDescent="0.2">
      <c r="O25" s="18" t="s">
        <v>31</v>
      </c>
      <c r="P25" s="15" t="s">
        <v>32</v>
      </c>
    </row>
    <row r="26" spans="7:17" x14ac:dyDescent="0.2">
      <c r="J26" s="18" t="s">
        <v>31</v>
      </c>
      <c r="K26" s="15" t="s">
        <v>32</v>
      </c>
      <c r="O26" s="19" t="s">
        <v>33</v>
      </c>
      <c r="P26" s="20">
        <f>Q22/(Q22+P22)</f>
        <v>0.83333333333333337</v>
      </c>
    </row>
    <row r="27" spans="7:17" ht="25.5" x14ac:dyDescent="0.2">
      <c r="J27" s="19" t="s">
        <v>33</v>
      </c>
      <c r="K27" s="20">
        <f>L22/(L22+K22)</f>
        <v>0.5</v>
      </c>
      <c r="O27" s="21" t="s">
        <v>25</v>
      </c>
      <c r="P27" s="22">
        <f>Q22/(Q21+Q22)</f>
        <v>0.83333333333333337</v>
      </c>
    </row>
    <row r="28" spans="7:17" ht="15" x14ac:dyDescent="0.2">
      <c r="J28" s="21" t="s">
        <v>25</v>
      </c>
      <c r="K28" s="22">
        <f>L22/(L21+L22)</f>
        <v>0.75</v>
      </c>
      <c r="O28" s="24" t="s">
        <v>26</v>
      </c>
      <c r="P28" s="25">
        <f>(P21+Q22)/(P21+P22+Q21+Q22)</f>
        <v>0.8</v>
      </c>
    </row>
    <row r="29" spans="7:17" x14ac:dyDescent="0.2">
      <c r="J29" s="21" t="s">
        <v>26</v>
      </c>
      <c r="K29" s="22">
        <f>(K21+L22)/(K21+K22+L21+L22)</f>
        <v>0.6</v>
      </c>
      <c r="O29" s="16" t="s">
        <v>27</v>
      </c>
      <c r="P29" s="9">
        <f>(2*P27*P26)/(P27+P26)</f>
        <v>0.83333333333333337</v>
      </c>
    </row>
    <row r="30" spans="7:17" x14ac:dyDescent="0.2">
      <c r="J30" s="16" t="s">
        <v>27</v>
      </c>
      <c r="K30" s="9">
        <f>(2*K28*K27)/(K28+K27)</f>
        <v>0.6</v>
      </c>
    </row>
    <row r="37" spans="9:10" x14ac:dyDescent="0.2">
      <c r="I37" s="8"/>
      <c r="J37" s="8"/>
    </row>
    <row r="38" spans="9:10" x14ac:dyDescent="0.2">
      <c r="I38" s="8"/>
      <c r="J38" s="8"/>
    </row>
    <row r="39" spans="9:10" x14ac:dyDescent="0.2">
      <c r="I39" s="26"/>
      <c r="J39" s="26"/>
    </row>
    <row r="40" spans="9:10" x14ac:dyDescent="0.2">
      <c r="I40" s="8"/>
      <c r="J40" s="8"/>
    </row>
    <row r="41" spans="9:10" x14ac:dyDescent="0.2">
      <c r="I41" s="8"/>
      <c r="J41" s="8"/>
    </row>
    <row r="42" spans="9:10" x14ac:dyDescent="0.2">
      <c r="I42" s="8"/>
      <c r="J42" s="8"/>
    </row>
    <row r="43" spans="9:10" x14ac:dyDescent="0.2">
      <c r="I43" s="8"/>
      <c r="J43" s="8"/>
    </row>
    <row r="44" spans="9:10" x14ac:dyDescent="0.2">
      <c r="I44" s="8"/>
      <c r="J44" s="8"/>
    </row>
    <row r="45" spans="9:10" x14ac:dyDescent="0.2">
      <c r="I45" s="8"/>
    </row>
    <row r="46" spans="9:10" x14ac:dyDescent="0.2">
      <c r="I46" s="8"/>
      <c r="J46" s="8"/>
    </row>
    <row r="47" spans="9:10" x14ac:dyDescent="0.2">
      <c r="I47" s="8"/>
      <c r="J47" s="8"/>
    </row>
    <row r="48" spans="9:10" x14ac:dyDescent="0.2">
      <c r="I48" s="8"/>
      <c r="J48" s="8"/>
    </row>
    <row r="49" spans="9:9" x14ac:dyDescent="0.2">
      <c r="I49" s="8"/>
    </row>
    <row r="50" spans="9:9" x14ac:dyDescent="0.2">
      <c r="I50" s="8"/>
    </row>
  </sheetData>
  <mergeCells count="6">
    <mergeCell ref="I21:I22"/>
    <mergeCell ref="K19:L19"/>
    <mergeCell ref="J18:L18"/>
    <mergeCell ref="O18:Q18"/>
    <mergeCell ref="P19:Q19"/>
    <mergeCell ref="N21:N22"/>
  </mergeCells>
  <phoneticPr fontId="6" type="noConversion"/>
  <conditionalFormatting sqref="S14:AC14">
    <cfRule type="top10" dxfId="35" priority="1" rank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 results</vt:lpstr>
      <vt:lpstr>Results MAIN</vt:lpstr>
      <vt:lpstr>THRESHOLD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Tomas Philippart</cp:lastModifiedBy>
  <cp:revision>3</cp:revision>
  <dcterms:modified xsi:type="dcterms:W3CDTF">2021-10-17T17:55:31Z</dcterms:modified>
  <dc:language>pt-PT</dc:language>
</cp:coreProperties>
</file>