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uart\Desktop\Lab1_Espectroscopia_Gama\"/>
    </mc:Choice>
  </mc:AlternateContent>
  <xr:revisionPtr revIDLastSave="0" documentId="13_ncr:1_{1D541B99-D707-483A-ACED-49343757049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libração" sheetId="1" r:id="rId1"/>
    <sheet name="Atenuaçã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8" roundtripDataSignature="AMtx7mj6bbB52KwS2k6l6wLNHj5QFSdYZg=="/>
    </ext>
  </extLst>
</workbook>
</file>

<file path=xl/calcChain.xml><?xml version="1.0" encoding="utf-8"?>
<calcChain xmlns="http://schemas.openxmlformats.org/spreadsheetml/2006/main">
  <c r="H40" i="3" l="1"/>
  <c r="B40" i="3"/>
  <c r="C48" i="3" s="1"/>
  <c r="H39" i="3"/>
  <c r="B39" i="3"/>
  <c r="C47" i="3" s="1"/>
  <c r="H38" i="3"/>
  <c r="B38" i="3"/>
  <c r="C46" i="3" s="1"/>
  <c r="H37" i="3"/>
  <c r="B37" i="3"/>
  <c r="C45" i="3" s="1"/>
  <c r="H36" i="3"/>
  <c r="B36" i="3"/>
  <c r="C44" i="3" s="1"/>
  <c r="H35" i="3"/>
  <c r="D27" i="3"/>
  <c r="P26" i="3"/>
  <c r="T26" i="3" s="1"/>
  <c r="P25" i="3"/>
  <c r="T25" i="3" s="1"/>
  <c r="P24" i="3"/>
  <c r="T24" i="3" s="1"/>
  <c r="C24" i="3"/>
  <c r="V26" i="3" s="1"/>
  <c r="A24" i="3"/>
  <c r="B24" i="3" s="1"/>
  <c r="R23" i="3"/>
  <c r="P23" i="3"/>
  <c r="T23" i="3" s="1"/>
  <c r="C23" i="3"/>
  <c r="V25" i="3" s="1"/>
  <c r="A23" i="3"/>
  <c r="B23" i="3" s="1"/>
  <c r="R22" i="3"/>
  <c r="P22" i="3"/>
  <c r="T22" i="3" s="1"/>
  <c r="C22" i="3"/>
  <c r="V24" i="3" s="1"/>
  <c r="A22" i="3"/>
  <c r="B22" i="3" s="1"/>
  <c r="U21" i="3"/>
  <c r="T21" i="3"/>
  <c r="P21" i="3"/>
  <c r="D21" i="3"/>
  <c r="C21" i="3"/>
  <c r="V23" i="3" s="1"/>
  <c r="B21" i="3"/>
  <c r="G45" i="3" s="1"/>
  <c r="A21" i="3"/>
  <c r="D20" i="3"/>
  <c r="C20" i="3"/>
  <c r="V22" i="3" s="1"/>
  <c r="B20" i="3"/>
  <c r="Q22" i="3" s="1"/>
  <c r="A20" i="3"/>
  <c r="T19" i="3"/>
  <c r="P19" i="3"/>
  <c r="V18" i="3"/>
  <c r="T18" i="3"/>
  <c r="P18" i="3"/>
  <c r="V17" i="3"/>
  <c r="T17" i="3"/>
  <c r="P17" i="3"/>
  <c r="V16" i="3"/>
  <c r="T16" i="3"/>
  <c r="P16" i="3"/>
  <c r="F16" i="3"/>
  <c r="V19" i="3" s="1"/>
  <c r="D16" i="3"/>
  <c r="C16" i="3"/>
  <c r="R19" i="3" s="1"/>
  <c r="B16" i="3"/>
  <c r="E48" i="3" s="1"/>
  <c r="A16" i="3"/>
  <c r="E16" i="3" s="1"/>
  <c r="AA15" i="3"/>
  <c r="P15" i="3"/>
  <c r="T15" i="3" s="1"/>
  <c r="F15" i="3"/>
  <c r="C15" i="3"/>
  <c r="R18" i="3" s="1"/>
  <c r="A15" i="3"/>
  <c r="B15" i="3" s="1"/>
  <c r="F14" i="3"/>
  <c r="C14" i="3"/>
  <c r="R17" i="3" s="1"/>
  <c r="A14" i="3"/>
  <c r="B14" i="3" s="1"/>
  <c r="F13" i="3"/>
  <c r="C13" i="3"/>
  <c r="R16" i="3" s="1"/>
  <c r="A13" i="3"/>
  <c r="B13" i="3" s="1"/>
  <c r="F12" i="3"/>
  <c r="V15" i="3" s="1"/>
  <c r="C12" i="3"/>
  <c r="D12" i="3" s="1"/>
  <c r="A12" i="3"/>
  <c r="B12" i="3" s="1"/>
  <c r="H9" i="3"/>
  <c r="H8" i="3"/>
  <c r="H7" i="3"/>
  <c r="H6" i="3"/>
  <c r="H5" i="3"/>
  <c r="H4" i="3"/>
  <c r="L69" i="1"/>
  <c r="D69" i="1"/>
  <c r="B69" i="1"/>
  <c r="F69" i="1" s="1"/>
  <c r="G69" i="1" s="1"/>
  <c r="L64" i="1"/>
  <c r="L63" i="1"/>
  <c r="L62" i="1"/>
  <c r="L61" i="1"/>
  <c r="L60" i="1"/>
  <c r="B60" i="1"/>
  <c r="L59" i="1"/>
  <c r="L58" i="1"/>
  <c r="L57" i="1"/>
  <c r="L56" i="1"/>
  <c r="L55" i="1"/>
  <c r="L54" i="1"/>
  <c r="C50" i="1"/>
  <c r="C49" i="1"/>
  <c r="C48" i="1"/>
  <c r="B48" i="1"/>
  <c r="C47" i="1"/>
  <c r="C46" i="1"/>
  <c r="C45" i="1"/>
  <c r="T44" i="1"/>
  <c r="C41" i="1"/>
  <c r="C40" i="1"/>
  <c r="C39" i="1"/>
  <c r="C38" i="1"/>
  <c r="E16" i="1"/>
  <c r="E15" i="1"/>
  <c r="E13" i="1"/>
  <c r="E12" i="1"/>
  <c r="E11" i="1"/>
  <c r="E10" i="1"/>
  <c r="E9" i="1"/>
  <c r="E8" i="1"/>
  <c r="S7" i="1" a="1"/>
  <c r="T11" i="1" s="1"/>
  <c r="E7" i="1"/>
  <c r="S8" i="1" l="1"/>
  <c r="S9" i="1"/>
  <c r="H60" i="1" s="1"/>
  <c r="S10" i="1"/>
  <c r="S11" i="1"/>
  <c r="S7" i="1"/>
  <c r="T7" i="1"/>
  <c r="T8" i="1"/>
  <c r="T9" i="1"/>
  <c r="T10" i="1"/>
  <c r="E45" i="3"/>
  <c r="Q16" i="3"/>
  <c r="U16" i="3" s="1"/>
  <c r="E47" i="3"/>
  <c r="Q18" i="3"/>
  <c r="U18" i="3" s="1"/>
  <c r="U22" i="3"/>
  <c r="Q24" i="3"/>
  <c r="U24" i="3" s="1"/>
  <c r="G46" i="3"/>
  <c r="G47" i="3"/>
  <c r="Q25" i="3"/>
  <c r="U25" i="3" s="1"/>
  <c r="Q26" i="3"/>
  <c r="U26" i="3" s="1"/>
  <c r="G48" i="3"/>
  <c r="E44" i="3"/>
  <c r="Q15" i="3"/>
  <c r="E46" i="3"/>
  <c r="Q17" i="3"/>
  <c r="U17" i="3" s="1"/>
  <c r="E12" i="3"/>
  <c r="E13" i="3"/>
  <c r="E14" i="3"/>
  <c r="E15" i="3"/>
  <c r="R15" i="3"/>
  <c r="Q19" i="3"/>
  <c r="U19" i="3" s="1"/>
  <c r="R24" i="3"/>
  <c r="R25" i="3"/>
  <c r="R26" i="3"/>
  <c r="G44" i="3"/>
  <c r="D13" i="3"/>
  <c r="D14" i="3"/>
  <c r="D15" i="3"/>
  <c r="D22" i="3"/>
  <c r="D23" i="3"/>
  <c r="Q23" i="3"/>
  <c r="U23" i="3" s="1"/>
  <c r="D24" i="3"/>
  <c r="O3" i="3" l="1" a="1"/>
  <c r="U15" i="3"/>
  <c r="R3" i="3" a="1"/>
  <c r="E38" i="1"/>
  <c r="C25" i="1"/>
  <c r="D25" i="1" s="1"/>
  <c r="C24" i="1"/>
  <c r="D24" i="1" s="1"/>
  <c r="C23" i="1"/>
  <c r="D23" i="1" s="1"/>
  <c r="C22" i="1"/>
  <c r="D22" i="1" s="1"/>
  <c r="C21" i="1"/>
  <c r="D21" i="1" s="1"/>
  <c r="H69" i="1"/>
  <c r="H64" i="1"/>
  <c r="H63" i="1"/>
  <c r="H62" i="1"/>
  <c r="H61" i="1"/>
  <c r="I69" i="1"/>
  <c r="H41" i="1"/>
  <c r="H40" i="1"/>
  <c r="H39" i="1"/>
  <c r="H38" i="1"/>
  <c r="I50" i="1"/>
  <c r="J69" i="1" l="1"/>
  <c r="I41" i="1"/>
  <c r="D41" i="1"/>
  <c r="P46" i="1" s="1"/>
  <c r="R46" i="1" s="1"/>
  <c r="B41" i="1"/>
  <c r="F41" i="1" s="1"/>
  <c r="I40" i="1"/>
  <c r="J40" i="1" s="1"/>
  <c r="D40" i="1"/>
  <c r="B40" i="1"/>
  <c r="F40" i="1" s="1"/>
  <c r="G40" i="1" s="1"/>
  <c r="I39" i="1"/>
  <c r="D39" i="1"/>
  <c r="P45" i="1" s="1"/>
  <c r="R45" i="1" s="1"/>
  <c r="B39" i="1"/>
  <c r="I38" i="1"/>
  <c r="E45" i="1"/>
  <c r="D38" i="1"/>
  <c r="P44" i="1" s="1"/>
  <c r="R44" i="1" s="1"/>
  <c r="B38" i="1"/>
  <c r="J38" i="1"/>
  <c r="E21" i="1"/>
  <c r="G21" i="1" s="1"/>
  <c r="S7" i="3"/>
  <c r="S6" i="3"/>
  <c r="S5" i="3"/>
  <c r="S4" i="3"/>
  <c r="S3" i="3"/>
  <c r="R3" i="3"/>
  <c r="R7" i="3"/>
  <c r="R6" i="3"/>
  <c r="R5" i="3"/>
  <c r="R4" i="3"/>
  <c r="O4" i="3"/>
  <c r="P4" i="3"/>
  <c r="P3" i="3"/>
  <c r="O3" i="3"/>
  <c r="F38" i="1" l="1"/>
  <c r="E54" i="1"/>
  <c r="D50" i="1"/>
  <c r="B50" i="1"/>
  <c r="F50" i="1" s="1"/>
  <c r="G50" i="1" s="1"/>
  <c r="D46" i="1"/>
  <c r="B46" i="1"/>
  <c r="F46" i="1" s="1"/>
  <c r="G46" i="1" s="1"/>
  <c r="D45" i="1"/>
  <c r="B45" i="1"/>
  <c r="F45" i="1" s="1"/>
  <c r="G45" i="1" s="1"/>
  <c r="D49" i="1"/>
  <c r="B49" i="1"/>
  <c r="F49" i="1" s="1"/>
  <c r="G49" i="1" s="1"/>
  <c r="D47" i="1"/>
  <c r="B47" i="1"/>
  <c r="F47" i="1" s="1"/>
  <c r="G47" i="1" s="1"/>
  <c r="I48" i="1"/>
  <c r="D48" i="1"/>
  <c r="F48" i="1" s="1"/>
  <c r="G48" i="1" s="1"/>
  <c r="I45" i="1"/>
  <c r="I49" i="1"/>
  <c r="I47" i="1"/>
  <c r="I46" i="1"/>
  <c r="H48" i="1"/>
  <c r="J48" i="1" s="1"/>
  <c r="H45" i="1"/>
  <c r="J45" i="1" s="1"/>
  <c r="H50" i="1"/>
  <c r="J50" i="1" s="1"/>
  <c r="H49" i="1"/>
  <c r="J49" i="1" s="1"/>
  <c r="H47" i="1"/>
  <c r="J47" i="1" s="1"/>
  <c r="H46" i="1"/>
  <c r="J46" i="1" s="1"/>
  <c r="F39" i="1"/>
  <c r="G41" i="1"/>
  <c r="Q46" i="1"/>
  <c r="S46" i="1" s="1"/>
  <c r="T46" i="1" s="1"/>
  <c r="J41" i="1"/>
  <c r="J39" i="1"/>
  <c r="B64" i="1" l="1"/>
  <c r="B63" i="1"/>
  <c r="B62" i="1"/>
  <c r="B61" i="1"/>
  <c r="I64" i="1"/>
  <c r="D64" i="1"/>
  <c r="J64" i="1" s="1"/>
  <c r="I63" i="1"/>
  <c r="D63" i="1"/>
  <c r="J63" i="1" s="1"/>
  <c r="I62" i="1"/>
  <c r="D62" i="1"/>
  <c r="J62" i="1" s="1"/>
  <c r="I61" i="1"/>
  <c r="D61" i="1"/>
  <c r="J61" i="1" s="1"/>
  <c r="I60" i="1"/>
  <c r="D60" i="1"/>
  <c r="I59" i="1"/>
  <c r="D59" i="1"/>
  <c r="I58" i="1"/>
  <c r="D58" i="1"/>
  <c r="I57" i="1"/>
  <c r="D57" i="1"/>
  <c r="I56" i="1"/>
  <c r="D56" i="1"/>
  <c r="I55" i="1"/>
  <c r="D55" i="1"/>
  <c r="I54" i="1"/>
  <c r="B54" i="1"/>
  <c r="B58" i="1"/>
  <c r="F58" i="1" s="1"/>
  <c r="G58" i="1" s="1"/>
  <c r="B56" i="1"/>
  <c r="F56" i="1" s="1"/>
  <c r="G56" i="1" s="1"/>
  <c r="D54" i="1"/>
  <c r="B59" i="1"/>
  <c r="F59" i="1" s="1"/>
  <c r="G59" i="1" s="1"/>
  <c r="B57" i="1"/>
  <c r="F57" i="1" s="1"/>
  <c r="G57" i="1" s="1"/>
  <c r="B55" i="1"/>
  <c r="F55" i="1" s="1"/>
  <c r="G55" i="1" s="1"/>
  <c r="H56" i="1"/>
  <c r="J56" i="1" s="1"/>
  <c r="H59" i="1"/>
  <c r="J59" i="1" s="1"/>
  <c r="H55" i="1"/>
  <c r="J55" i="1" s="1"/>
  <c r="H58" i="1"/>
  <c r="J58" i="1" s="1"/>
  <c r="H54" i="1"/>
  <c r="J54" i="1" s="1"/>
  <c r="H57" i="1"/>
  <c r="J57" i="1" s="1"/>
  <c r="Q45" i="1"/>
  <c r="S45" i="1" s="1"/>
  <c r="T45" i="1" s="1"/>
  <c r="T49" i="1" s="1"/>
  <c r="G39" i="1"/>
  <c r="G38" i="1"/>
  <c r="Q44" i="1"/>
  <c r="F54" i="1" l="1"/>
  <c r="G54" i="1" s="1"/>
  <c r="F60" i="1"/>
  <c r="G60" i="1" s="1"/>
  <c r="J60" i="1"/>
  <c r="F61" i="1"/>
  <c r="G61" i="1" s="1"/>
  <c r="F63" i="1"/>
  <c r="G63" i="1" s="1"/>
  <c r="F62" i="1"/>
  <c r="G62" i="1" s="1"/>
  <c r="F64" i="1"/>
  <c r="G64" i="1" s="1"/>
</calcChain>
</file>

<file path=xl/sharedStrings.xml><?xml version="1.0" encoding="utf-8"?>
<sst xmlns="http://schemas.openxmlformats.org/spreadsheetml/2006/main" count="181" uniqueCount="102">
  <si>
    <t>Calibração</t>
  </si>
  <si>
    <t>Valores usados (amarelos)</t>
  </si>
  <si>
    <t>Picos</t>
  </si>
  <si>
    <t>Designação</t>
  </si>
  <si>
    <t>Valor teórico (keV)</t>
  </si>
  <si>
    <t>Centróide (Channel)</t>
  </si>
  <si>
    <t>Erro centróide</t>
  </si>
  <si>
    <t>FWHM (Ch)</t>
  </si>
  <si>
    <t>Nt (Cts)</t>
  </si>
  <si>
    <t>Erro</t>
  </si>
  <si>
    <t>Ns (Cts)</t>
  </si>
  <si>
    <t>Linest</t>
  </si>
  <si>
    <t>Césio-137</t>
  </si>
  <si>
    <t>Raios-X</t>
  </si>
  <si>
    <t>a</t>
  </si>
  <si>
    <t>b</t>
  </si>
  <si>
    <t>Retrodifusão</t>
  </si>
  <si>
    <t>Erro a</t>
  </si>
  <si>
    <t>Erro b</t>
  </si>
  <si>
    <t>Joelho de Crompton</t>
  </si>
  <si>
    <t>Absorção Total</t>
  </si>
  <si>
    <t>Cobalto-60</t>
  </si>
  <si>
    <t>Joelho de Crompton I</t>
  </si>
  <si>
    <t>Joelho de Crompton II</t>
  </si>
  <si>
    <t>-</t>
  </si>
  <si>
    <t>Absorção Total I</t>
  </si>
  <si>
    <t>Absorção Total II</t>
  </si>
  <si>
    <t>Cálculo do qui^2</t>
  </si>
  <si>
    <t>Centróide</t>
  </si>
  <si>
    <t>Energia teórica</t>
  </si>
  <si>
    <t>Energia com a reta</t>
  </si>
  <si>
    <t>(Oi-Ei)^2/Ei</t>
  </si>
  <si>
    <t>Soma=qui^2</t>
  </si>
  <si>
    <t>nd=nº de pontos-2</t>
  </si>
  <si>
    <t>qui^2/nd</t>
  </si>
  <si>
    <t>Resolução Energética</t>
  </si>
  <si>
    <t>(Os valores estão por ordem dos picos)</t>
  </si>
  <si>
    <t>Delta E</t>
  </si>
  <si>
    <t>FwHm</t>
  </si>
  <si>
    <t>E</t>
  </si>
  <si>
    <t>R</t>
  </si>
  <si>
    <t>R(%)</t>
  </si>
  <si>
    <t>eDeltaE</t>
  </si>
  <si>
    <t>eE</t>
  </si>
  <si>
    <t>eR</t>
  </si>
  <si>
    <t>Resolução - Cs 137</t>
  </si>
  <si>
    <t>X</t>
  </si>
  <si>
    <t>Y</t>
  </si>
  <si>
    <t>Y_fit = 2,355*RAIZQ(k/t)</t>
  </si>
  <si>
    <t>Residual</t>
  </si>
  <si>
    <t>Residual ^2</t>
  </si>
  <si>
    <t>fitting constants</t>
  </si>
  <si>
    <t>SSR</t>
  </si>
  <si>
    <t>k</t>
  </si>
  <si>
    <t>Fonte Desconhecida</t>
  </si>
  <si>
    <t>Centroide</t>
  </si>
  <si>
    <t>Ns</t>
  </si>
  <si>
    <t>eCentroid</t>
  </si>
  <si>
    <t>Ambiente</t>
  </si>
  <si>
    <t>Ensaio</t>
  </si>
  <si>
    <t>Análise no pico de absorção total</t>
  </si>
  <si>
    <t>Tempo de Aquisiçao: 300s</t>
  </si>
  <si>
    <t>mg/cm^2</t>
  </si>
  <si>
    <t>ROI INT(Nt)</t>
  </si>
  <si>
    <t>ROI Net(Ns)</t>
  </si>
  <si>
    <t>CENTROID</t>
  </si>
  <si>
    <t>FwTm</t>
  </si>
  <si>
    <t>Chumbo1</t>
  </si>
  <si>
    <t>Chumbo2</t>
  </si>
  <si>
    <t>Chumbo3</t>
  </si>
  <si>
    <t>Chumbo4</t>
  </si>
  <si>
    <t>Chumbo5</t>
  </si>
  <si>
    <t>Nt/N0</t>
  </si>
  <si>
    <t>ln(N/N0)</t>
  </si>
  <si>
    <t>Erro ln</t>
  </si>
  <si>
    <t>ERRO</t>
  </si>
  <si>
    <t>Dados Para Fitteia</t>
  </si>
  <si>
    <t>x</t>
  </si>
  <si>
    <t>y</t>
  </si>
  <si>
    <t>ey</t>
  </si>
  <si>
    <t>1.02392e-01</t>
  </si>
  <si>
    <t>0.11192E-02</t>
  </si>
  <si>
    <t>-6.07375e-03</t>
  </si>
  <si>
    <t>0.38030E-02</t>
  </si>
  <si>
    <t>Ns/N0</t>
  </si>
  <si>
    <t>ln(Ns/N0)</t>
  </si>
  <si>
    <t>ROI NET(Ns)</t>
  </si>
  <si>
    <t>0.0001</t>
  </si>
  <si>
    <t>coef_Real chumbo</t>
  </si>
  <si>
    <t>coef_exp</t>
  </si>
  <si>
    <t>Desvio</t>
  </si>
  <si>
    <t>x(g/cm^2)</t>
  </si>
  <si>
    <t>N_t</t>
  </si>
  <si>
    <t>N_s</t>
  </si>
  <si>
    <t>A</t>
  </si>
  <si>
    <t>B</t>
  </si>
  <si>
    <t>C</t>
  </si>
  <si>
    <t>D</t>
  </si>
  <si>
    <t>Absorvedor</t>
  </si>
  <si>
    <t>&amp;</t>
  </si>
  <si>
    <t>ln(N_t/N_0)</t>
  </si>
  <si>
    <t>ln(N_s/N_0)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</si>
</sst>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"/>
    <numFmt numFmtId="166" formatCode="0.000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Inconsolata"/>
    </font>
    <font>
      <sz val="12"/>
      <color rgb="FF0000FF"/>
      <name val="Times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7F7DF"/>
        <bgColor rgb="FFF7F7D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1" xfId="0" applyFont="1" applyFill="1" applyBorder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  <xf numFmtId="165" fontId="1" fillId="0" borderId="0" xfId="0" applyNumberFormat="1" applyFont="1"/>
    <xf numFmtId="0" fontId="3" fillId="0" borderId="0" xfId="0" applyFont="1" applyAlignment="1"/>
    <xf numFmtId="0" fontId="4" fillId="2" borderId="0" xfId="0" applyFont="1" applyFill="1"/>
    <xf numFmtId="2" fontId="1" fillId="0" borderId="0" xfId="0" applyNumberFormat="1" applyFont="1"/>
    <xf numFmtId="164" fontId="1" fillId="0" borderId="0" xfId="0" applyNumberFormat="1" applyFont="1"/>
    <xf numFmtId="0" fontId="1" fillId="2" borderId="0" xfId="0" applyFont="1" applyFill="1"/>
    <xf numFmtId="166" fontId="1" fillId="0" borderId="0" xfId="0" applyNumberFormat="1" applyFont="1"/>
    <xf numFmtId="0" fontId="1" fillId="3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4" borderId="0" xfId="0" applyFont="1" applyFill="1"/>
    <xf numFmtId="0" fontId="3" fillId="4" borderId="0" xfId="0" applyFont="1" applyFill="1" applyAlignment="1">
      <alignment horizontal="left"/>
    </xf>
    <xf numFmtId="0" fontId="6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70C0"/>
                </a:solidFill>
                <a:latin typeface="Arial Black"/>
              </a:defRPr>
            </a:pPr>
            <a:r>
              <a:rPr sz="1400" b="0" i="0">
                <a:solidFill>
                  <a:srgbClr val="0070C0"/>
                </a:solidFill>
                <a:latin typeface="Arial Black"/>
              </a:rPr>
              <a:t>Calibração Linear</a:t>
            </a:r>
          </a:p>
        </c:rich>
      </c:tx>
      <c:layout>
        <c:manualLayout>
          <c:xMode val="edge"/>
          <c:yMode val="edge"/>
          <c:x val="0.40868875244483044"/>
          <c:y val="3.3056464684386985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Calibração!$M$7:$M$11</c:f>
              <c:numCache>
                <c:formatCode>General</c:formatCode>
                <c:ptCount val="5"/>
                <c:pt idx="0">
                  <c:v>28.08</c:v>
                </c:pt>
                <c:pt idx="1">
                  <c:v>130.82</c:v>
                </c:pt>
                <c:pt idx="2">
                  <c:v>413.29</c:v>
                </c:pt>
                <c:pt idx="3">
                  <c:v>710.25</c:v>
                </c:pt>
                <c:pt idx="4">
                  <c:v>802.2</c:v>
                </c:pt>
              </c:numCache>
            </c:numRef>
          </c:xVal>
          <c:yVal>
            <c:numRef>
              <c:f>Calibração!$O$7:$O$11</c:f>
              <c:numCache>
                <c:formatCode>General</c:formatCode>
                <c:ptCount val="5"/>
                <c:pt idx="0">
                  <c:v>32</c:v>
                </c:pt>
                <c:pt idx="1">
                  <c:v>184</c:v>
                </c:pt>
                <c:pt idx="2">
                  <c:v>662</c:v>
                </c:pt>
                <c:pt idx="3">
                  <c:v>1173</c:v>
                </c:pt>
                <c:pt idx="4">
                  <c:v>1333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97-4F1E-9795-4D7BC086E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219815"/>
        <c:axId val="1265155696"/>
      </c:scatterChart>
      <c:valAx>
        <c:axId val="5272198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1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100" b="0" i="0">
                    <a:solidFill>
                      <a:srgbClr val="000000"/>
                    </a:solidFill>
                    <a:latin typeface="+mn-lt"/>
                  </a:rPr>
                  <a:t>Centróide (Canal)</a:t>
                </a:r>
              </a:p>
            </c:rich>
          </c:tx>
          <c:layout>
            <c:manualLayout>
              <c:xMode val="edge"/>
              <c:yMode val="edge"/>
              <c:x val="0.76764384676469821"/>
              <c:y val="0.915669784280218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65155696"/>
        <c:crosses val="autoZero"/>
        <c:crossBetween val="midCat"/>
      </c:valAx>
      <c:valAx>
        <c:axId val="12651556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1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100" b="0" i="0">
                    <a:solidFill>
                      <a:srgbClr val="000000"/>
                    </a:solidFill>
                    <a:latin typeface="+mn-lt"/>
                  </a:rPr>
                  <a:t>Eteo (keV)</a:t>
                </a:r>
              </a:p>
            </c:rich>
          </c:tx>
          <c:layout>
            <c:manualLayout>
              <c:xMode val="edge"/>
              <c:yMode val="edge"/>
              <c:x val="3.501927819614923E-2"/>
              <c:y val="0.1461523200433122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27219815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323850</xdr:colOff>
      <xdr:row>16</xdr:row>
      <xdr:rowOff>57150</xdr:rowOff>
    </xdr:from>
    <xdr:ext cx="6229350" cy="4067175"/>
    <xdr:graphicFrame macro="">
      <xdr:nvGraphicFramePr>
        <xdr:cNvPr id="1326020082" name="Chart 1">
          <a:extLst>
            <a:ext uri="{FF2B5EF4-FFF2-40B4-BE49-F238E27FC236}">
              <a16:creationId xmlns:a16="http://schemas.microsoft.com/office/drawing/2014/main" id="{00000000-0008-0000-0000-0000F2750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000"/>
  <sheetViews>
    <sheetView workbookViewId="0"/>
  </sheetViews>
  <sheetFormatPr defaultColWidth="12.625" defaultRowHeight="15" customHeight="1" x14ac:dyDescent="0.2"/>
  <cols>
    <col min="1" max="1" width="15.875" customWidth="1"/>
    <col min="2" max="2" width="18.75" customWidth="1"/>
    <col min="3" max="3" width="22.125" customWidth="1"/>
    <col min="4" max="4" width="18.375" customWidth="1"/>
    <col min="5" max="5" width="11.875" customWidth="1"/>
    <col min="6" max="6" width="15.875" customWidth="1"/>
    <col min="7" max="7" width="9.875" customWidth="1"/>
    <col min="8" max="11" width="7.625" customWidth="1"/>
    <col min="12" max="12" width="8.625" customWidth="1"/>
    <col min="13" max="13" width="17.75" customWidth="1"/>
    <col min="14" max="14" width="14.5" customWidth="1"/>
    <col min="15" max="15" width="18" customWidth="1"/>
    <col min="16" max="17" width="7.625" customWidth="1"/>
    <col min="18" max="18" width="19" customWidth="1"/>
    <col min="19" max="19" width="9" customWidth="1"/>
    <col min="20" max="20" width="9.625" customWidth="1"/>
    <col min="21" max="26" width="7.625" customWidth="1"/>
  </cols>
  <sheetData>
    <row r="2" spans="1:21" x14ac:dyDescent="0.25">
      <c r="B2" s="1" t="s">
        <v>0</v>
      </c>
    </row>
    <row r="4" spans="1:21" x14ac:dyDescent="0.25">
      <c r="M4" s="2" t="s">
        <v>1</v>
      </c>
    </row>
    <row r="6" spans="1:21" x14ac:dyDescent="0.25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H6" s="1" t="s">
        <v>8</v>
      </c>
      <c r="I6" s="1" t="s">
        <v>9</v>
      </c>
      <c r="J6" s="1" t="s">
        <v>10</v>
      </c>
      <c r="K6" s="1" t="s">
        <v>9</v>
      </c>
      <c r="M6" s="1" t="s">
        <v>5</v>
      </c>
      <c r="N6" s="1" t="s">
        <v>6</v>
      </c>
      <c r="O6" s="1" t="s">
        <v>4</v>
      </c>
      <c r="S6" s="1" t="s">
        <v>11</v>
      </c>
    </row>
    <row r="7" spans="1:21" x14ac:dyDescent="0.25">
      <c r="A7" s="1" t="s">
        <v>12</v>
      </c>
      <c r="B7" s="3" t="s">
        <v>13</v>
      </c>
      <c r="C7" s="1">
        <v>32</v>
      </c>
      <c r="D7" s="1">
        <v>28.08</v>
      </c>
      <c r="E7" s="1">
        <f t="shared" ref="E7:E13" si="0">F7/(2*SQRT(2*J7*LN(2)))</f>
        <v>9.5542444985832805E-3</v>
      </c>
      <c r="F7" s="1">
        <v>5.97</v>
      </c>
      <c r="H7" s="1">
        <v>104573</v>
      </c>
      <c r="I7" s="1">
        <v>323</v>
      </c>
      <c r="J7" s="1">
        <v>70411</v>
      </c>
      <c r="K7" s="1">
        <v>461</v>
      </c>
      <c r="M7" s="1">
        <v>28.08</v>
      </c>
      <c r="N7" s="1">
        <v>9.5542444985832805E-3</v>
      </c>
      <c r="O7" s="1">
        <v>32</v>
      </c>
      <c r="R7" s="1" t="s">
        <v>14</v>
      </c>
      <c r="S7" s="4">
        <f t="array" ref="S7:T11">LINEST(O7:O11,M7:M11,TRUE,TRUE)</f>
        <v>1.689970077557666</v>
      </c>
      <c r="T7" s="5">
        <v>-27.795844495962683</v>
      </c>
      <c r="U7" s="1" t="s">
        <v>15</v>
      </c>
    </row>
    <row r="8" spans="1:21" x14ac:dyDescent="0.25">
      <c r="B8" s="3" t="s">
        <v>16</v>
      </c>
      <c r="C8" s="6">
        <v>184</v>
      </c>
      <c r="D8" s="1">
        <v>130.82</v>
      </c>
      <c r="E8" s="1">
        <f t="shared" si="0"/>
        <v>7.9727108576595901E-2</v>
      </c>
      <c r="F8" s="1">
        <v>21.2</v>
      </c>
      <c r="H8" s="1">
        <v>92407</v>
      </c>
      <c r="I8" s="1">
        <v>304</v>
      </c>
      <c r="J8" s="1">
        <v>12751</v>
      </c>
      <c r="K8" s="1">
        <v>798</v>
      </c>
      <c r="M8" s="1">
        <v>130.82</v>
      </c>
      <c r="N8" s="1">
        <v>7.9727108576595901E-2</v>
      </c>
      <c r="O8" s="6">
        <v>184</v>
      </c>
      <c r="R8" s="1" t="s">
        <v>17</v>
      </c>
      <c r="S8" s="1">
        <v>1.556168737932021E-2</v>
      </c>
      <c r="T8" s="1">
        <v>8.0461324555230114</v>
      </c>
      <c r="U8" s="1" t="s">
        <v>18</v>
      </c>
    </row>
    <row r="9" spans="1:21" x14ac:dyDescent="0.25">
      <c r="B9" s="6" t="s">
        <v>19</v>
      </c>
      <c r="C9" s="6">
        <v>478</v>
      </c>
      <c r="D9" s="1">
        <v>271.38</v>
      </c>
      <c r="E9" s="1">
        <f t="shared" si="0"/>
        <v>0.11763545266504163</v>
      </c>
      <c r="F9" s="1">
        <v>23.81</v>
      </c>
      <c r="H9" s="1">
        <v>76180</v>
      </c>
      <c r="I9" s="1">
        <v>276</v>
      </c>
      <c r="J9" s="1">
        <v>7388</v>
      </c>
      <c r="K9" s="1">
        <v>784</v>
      </c>
      <c r="M9" s="1">
        <v>413.29</v>
      </c>
      <c r="N9" s="1">
        <v>2.8762699573446571E-2</v>
      </c>
      <c r="O9" s="6">
        <v>662</v>
      </c>
      <c r="S9" s="1">
        <v>0.99974568841930134</v>
      </c>
      <c r="T9" s="1">
        <v>10.640668309359153</v>
      </c>
    </row>
    <row r="10" spans="1:21" x14ac:dyDescent="0.25">
      <c r="B10" s="3" t="s">
        <v>20</v>
      </c>
      <c r="C10" s="6">
        <v>662</v>
      </c>
      <c r="D10" s="1">
        <v>413.29</v>
      </c>
      <c r="E10" s="1">
        <f t="shared" si="0"/>
        <v>2.8762699573446571E-2</v>
      </c>
      <c r="F10" s="1">
        <v>33.39</v>
      </c>
      <c r="H10" s="1">
        <v>307154</v>
      </c>
      <c r="I10" s="1">
        <v>554</v>
      </c>
      <c r="J10" s="1">
        <v>243029</v>
      </c>
      <c r="K10" s="1">
        <v>1032</v>
      </c>
      <c r="M10" s="1">
        <v>710.25</v>
      </c>
      <c r="N10" s="1">
        <v>0.14605977615156435</v>
      </c>
      <c r="O10" s="6">
        <v>1173</v>
      </c>
      <c r="S10" s="1">
        <v>11793.55284182686</v>
      </c>
      <c r="T10" s="1">
        <v>3</v>
      </c>
    </row>
    <row r="11" spans="1:21" x14ac:dyDescent="0.25">
      <c r="A11" s="1" t="s">
        <v>21</v>
      </c>
      <c r="B11" s="1" t="s">
        <v>16</v>
      </c>
      <c r="C11" s="6">
        <v>210</v>
      </c>
      <c r="D11" s="1">
        <v>61.4</v>
      </c>
      <c r="E11" s="1">
        <f t="shared" si="0"/>
        <v>0.12663838477800321</v>
      </c>
      <c r="F11" s="1">
        <v>16.260000000000002</v>
      </c>
      <c r="H11" s="1">
        <v>28158</v>
      </c>
      <c r="I11" s="1">
        <v>168</v>
      </c>
      <c r="J11" s="1">
        <v>2973</v>
      </c>
      <c r="K11" s="1">
        <v>466</v>
      </c>
      <c r="M11" s="1">
        <v>802.2</v>
      </c>
      <c r="N11" s="1">
        <v>0.17427658910599783</v>
      </c>
      <c r="O11" s="6">
        <v>1333</v>
      </c>
      <c r="S11" s="1">
        <v>1335311.1285337906</v>
      </c>
      <c r="T11" s="1">
        <v>339.67146620940048</v>
      </c>
    </row>
    <row r="12" spans="1:21" x14ac:dyDescent="0.25">
      <c r="B12" s="1" t="s">
        <v>16</v>
      </c>
      <c r="C12" s="6">
        <v>214</v>
      </c>
      <c r="D12" s="1">
        <v>144.84</v>
      </c>
      <c r="E12" s="1">
        <f t="shared" si="0"/>
        <v>0.15901678050993018</v>
      </c>
      <c r="F12" s="1">
        <v>12.47</v>
      </c>
      <c r="H12" s="1">
        <v>15122</v>
      </c>
      <c r="I12" s="1">
        <v>123</v>
      </c>
      <c r="J12" s="1">
        <v>1109</v>
      </c>
      <c r="K12" s="1">
        <v>280</v>
      </c>
      <c r="O12" s="6"/>
    </row>
    <row r="13" spans="1:21" x14ac:dyDescent="0.25">
      <c r="B13" s="1" t="s">
        <v>22</v>
      </c>
      <c r="C13" s="6">
        <v>963</v>
      </c>
      <c r="D13" s="1">
        <v>546.09</v>
      </c>
      <c r="E13" s="1">
        <f t="shared" si="0"/>
        <v>4.0540064086456822E-2</v>
      </c>
      <c r="F13" s="1">
        <v>3.39</v>
      </c>
      <c r="H13" s="1">
        <v>21949</v>
      </c>
      <c r="I13" s="1">
        <v>148</v>
      </c>
      <c r="J13" s="1">
        <v>1261</v>
      </c>
      <c r="K13" s="1">
        <v>510</v>
      </c>
    </row>
    <row r="14" spans="1:21" x14ac:dyDescent="0.25">
      <c r="B14" s="1" t="s">
        <v>23</v>
      </c>
      <c r="C14" s="6">
        <v>1119</v>
      </c>
      <c r="D14" s="1" t="s">
        <v>24</v>
      </c>
      <c r="E14" s="1" t="s">
        <v>24</v>
      </c>
      <c r="F14" s="1" t="s">
        <v>24</v>
      </c>
      <c r="H14" s="1" t="s">
        <v>24</v>
      </c>
      <c r="I14" s="1" t="s">
        <v>24</v>
      </c>
      <c r="J14" s="1" t="s">
        <v>24</v>
      </c>
      <c r="K14" s="1" t="s">
        <v>24</v>
      </c>
    </row>
    <row r="15" spans="1:21" x14ac:dyDescent="0.25">
      <c r="B15" s="3" t="s">
        <v>25</v>
      </c>
      <c r="C15" s="6">
        <v>1173</v>
      </c>
      <c r="D15" s="1">
        <v>710.25</v>
      </c>
      <c r="E15" s="1">
        <f t="shared" ref="E15:E16" si="1">F15/(2*SQRT(2*J15*LN(2)))</f>
        <v>0.14605977615156435</v>
      </c>
      <c r="F15" s="1">
        <v>37.270000000000003</v>
      </c>
      <c r="H15" s="1">
        <v>28729</v>
      </c>
      <c r="I15" s="1">
        <v>169</v>
      </c>
      <c r="J15" s="1">
        <v>11742</v>
      </c>
      <c r="K15" s="1">
        <v>461</v>
      </c>
    </row>
    <row r="16" spans="1:21" x14ac:dyDescent="0.25">
      <c r="B16" s="3" t="s">
        <v>26</v>
      </c>
      <c r="C16" s="6">
        <v>1333</v>
      </c>
      <c r="D16" s="1">
        <v>802.2</v>
      </c>
      <c r="E16" s="1">
        <f t="shared" si="1"/>
        <v>0.17427658910599783</v>
      </c>
      <c r="F16" s="1">
        <v>37.35</v>
      </c>
      <c r="H16" s="1">
        <v>20761</v>
      </c>
      <c r="I16" s="1">
        <v>144</v>
      </c>
      <c r="J16" s="1">
        <v>8283</v>
      </c>
      <c r="K16" s="1">
        <v>379</v>
      </c>
    </row>
    <row r="17" spans="1:7" x14ac:dyDescent="0.25">
      <c r="C17" s="6"/>
    </row>
    <row r="18" spans="1:7" x14ac:dyDescent="0.25">
      <c r="C18" s="6"/>
    </row>
    <row r="19" spans="1:7" x14ac:dyDescent="0.25">
      <c r="A19" s="1" t="s">
        <v>27</v>
      </c>
      <c r="C19" s="6"/>
    </row>
    <row r="20" spans="1:7" x14ac:dyDescent="0.25">
      <c r="A20" s="1" t="s">
        <v>28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33</v>
      </c>
      <c r="G20" s="1" t="s">
        <v>34</v>
      </c>
    </row>
    <row r="21" spans="1:7" ht="15.75" customHeight="1" x14ac:dyDescent="0.25">
      <c r="A21" s="1">
        <v>28.08</v>
      </c>
      <c r="B21" s="1">
        <v>32</v>
      </c>
      <c r="C21" s="7">
        <f t="shared" ref="C21:C25" si="2">$S$7*A21+$T$7</f>
        <v>19.658515281856573</v>
      </c>
      <c r="D21" s="1">
        <f t="shared" ref="D21:D25" si="3">(C21-B21)^2/C21</f>
        <v>7.7479017547546549</v>
      </c>
      <c r="E21" s="1">
        <f>SUM(D21:D30)</f>
        <v>8.3254567471469336</v>
      </c>
      <c r="F21" s="1">
        <v>3</v>
      </c>
      <c r="G21" s="1">
        <f>E21/F21</f>
        <v>2.7751522490489777</v>
      </c>
    </row>
    <row r="22" spans="1:7" ht="15.75" customHeight="1" x14ac:dyDescent="0.25">
      <c r="A22" s="1">
        <v>130.82</v>
      </c>
      <c r="B22" s="6">
        <v>184</v>
      </c>
      <c r="C22" s="7">
        <f t="shared" si="2"/>
        <v>193.28604105013119</v>
      </c>
      <c r="D22" s="1">
        <f t="shared" si="3"/>
        <v>0.44612925960005861</v>
      </c>
    </row>
    <row r="23" spans="1:7" ht="15.75" customHeight="1" x14ac:dyDescent="0.25">
      <c r="A23" s="1">
        <v>413.29</v>
      </c>
      <c r="B23" s="6">
        <v>662</v>
      </c>
      <c r="C23" s="7">
        <f t="shared" si="2"/>
        <v>670.65188885784517</v>
      </c>
      <c r="D23" s="1">
        <f t="shared" si="3"/>
        <v>0.11161555205039018</v>
      </c>
    </row>
    <row r="24" spans="1:7" ht="15.75" customHeight="1" x14ac:dyDescent="0.25">
      <c r="A24" s="1">
        <v>710.25</v>
      </c>
      <c r="B24" s="6">
        <v>1173</v>
      </c>
      <c r="C24" s="7">
        <f t="shared" si="2"/>
        <v>1172.5054030893696</v>
      </c>
      <c r="D24" s="1">
        <f t="shared" si="3"/>
        <v>2.0863537460946309E-4</v>
      </c>
    </row>
    <row r="25" spans="1:7" ht="15.75" customHeight="1" x14ac:dyDescent="0.25">
      <c r="A25" s="1">
        <v>802.2</v>
      </c>
      <c r="B25" s="6">
        <v>1333</v>
      </c>
      <c r="C25" s="7">
        <f t="shared" si="2"/>
        <v>1327.8981517207972</v>
      </c>
      <c r="D25" s="1">
        <f t="shared" si="3"/>
        <v>1.9601545367221654E-2</v>
      </c>
    </row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spans="1:20" ht="15.75" customHeight="1" x14ac:dyDescent="0.2"/>
    <row r="34" spans="1:20" ht="15.75" customHeight="1" x14ac:dyDescent="0.25">
      <c r="D34" s="6"/>
    </row>
    <row r="35" spans="1:20" ht="15.75" customHeight="1" x14ac:dyDescent="0.25">
      <c r="B35" s="2" t="s">
        <v>35</v>
      </c>
      <c r="C35" s="2" t="s">
        <v>36</v>
      </c>
      <c r="D35" s="6"/>
    </row>
    <row r="36" spans="1:20" ht="15.75" customHeight="1" x14ac:dyDescent="0.25">
      <c r="A36" s="1" t="s">
        <v>12</v>
      </c>
      <c r="D36" s="6"/>
    </row>
    <row r="37" spans="1:20" ht="15.75" customHeight="1" x14ac:dyDescent="0.25">
      <c r="B37" s="8" t="s">
        <v>37</v>
      </c>
      <c r="C37" s="8" t="s">
        <v>38</v>
      </c>
      <c r="D37" s="2" t="s">
        <v>39</v>
      </c>
      <c r="E37" s="8" t="s">
        <v>14</v>
      </c>
      <c r="F37" s="2" t="s">
        <v>40</v>
      </c>
      <c r="G37" s="2" t="s">
        <v>41</v>
      </c>
      <c r="H37" s="2" t="s">
        <v>42</v>
      </c>
      <c r="I37" s="2" t="s">
        <v>43</v>
      </c>
      <c r="J37" s="2" t="s">
        <v>44</v>
      </c>
    </row>
    <row r="38" spans="1:20" ht="15.75" customHeight="1" x14ac:dyDescent="0.25">
      <c r="A38" s="9"/>
      <c r="B38" s="10">
        <f>E38*C38</f>
        <v>10.089121363019267</v>
      </c>
      <c r="C38" s="1">
        <f t="shared" ref="C38:C41" si="4">F7</f>
        <v>5.97</v>
      </c>
      <c r="D38" s="10">
        <f>E38*D7</f>
        <v>47.454359777819256</v>
      </c>
      <c r="E38" s="11">
        <f>S7</f>
        <v>1.689970077557666</v>
      </c>
      <c r="F38" s="10">
        <f t="shared" ref="F38:F41" si="5">B38/D38</f>
        <v>0.21260683760683763</v>
      </c>
      <c r="G38" s="10">
        <f t="shared" ref="G38:G41" si="6">F38*100</f>
        <v>21.260683760683762</v>
      </c>
      <c r="H38" s="10">
        <f>S8*C38+0.01*E38</f>
        <v>0.10980297443011831</v>
      </c>
      <c r="I38" s="10">
        <f>N7*E38+S8*D7</f>
        <v>0.45311856892758717</v>
      </c>
      <c r="J38" s="10">
        <f t="shared" ref="J38:J41" si="7">(H38/D38+I38/(D38^2))*100</f>
        <v>0.25150794982817615</v>
      </c>
    </row>
    <row r="39" spans="1:20" ht="15.75" customHeight="1" x14ac:dyDescent="0.25">
      <c r="A39" s="9"/>
      <c r="B39" s="10">
        <f>E38*C39</f>
        <v>35.827365644222517</v>
      </c>
      <c r="C39" s="1">
        <f t="shared" si="4"/>
        <v>21.2</v>
      </c>
      <c r="D39" s="10">
        <f>E38*D8</f>
        <v>221.08188554609387</v>
      </c>
      <c r="F39" s="10">
        <f t="shared" si="5"/>
        <v>0.16205473169240175</v>
      </c>
      <c r="G39" s="10">
        <f t="shared" si="6"/>
        <v>16.205473169240175</v>
      </c>
      <c r="H39" s="10">
        <f>S8*C39+0.01*E38</f>
        <v>0.3468074732171651</v>
      </c>
      <c r="I39" s="10">
        <f>N8*E38+S8*D8</f>
        <v>2.1705163708273081</v>
      </c>
      <c r="J39" s="10">
        <f t="shared" si="7"/>
        <v>0.16130908947943451</v>
      </c>
    </row>
    <row r="40" spans="1:20" ht="15.75" customHeight="1" x14ac:dyDescent="0.25">
      <c r="B40" s="10">
        <f>E38*C40</f>
        <v>40.238187546648028</v>
      </c>
      <c r="C40" s="1">
        <f t="shared" si="4"/>
        <v>23.81</v>
      </c>
      <c r="D40" s="10">
        <f>E38*D9</f>
        <v>458.62407964759939</v>
      </c>
      <c r="F40" s="10">
        <f t="shared" si="5"/>
        <v>8.7736752892622893E-2</v>
      </c>
      <c r="G40" s="10">
        <f t="shared" si="6"/>
        <v>8.7736752892622896</v>
      </c>
      <c r="H40" s="10">
        <f>S8*C40+0.01*E38</f>
        <v>0.38742347727719084</v>
      </c>
      <c r="I40" s="10">
        <f>N9*E38+S8*D9</f>
        <v>4.2717388226288238</v>
      </c>
      <c r="J40" s="10">
        <f t="shared" si="7"/>
        <v>8.6506082817835811E-2</v>
      </c>
    </row>
    <row r="41" spans="1:20" ht="15.75" customHeight="1" x14ac:dyDescent="0.25">
      <c r="A41" s="12"/>
      <c r="B41" s="10">
        <f>E38*C41</f>
        <v>56.428100889650473</v>
      </c>
      <c r="C41" s="1">
        <f t="shared" si="4"/>
        <v>33.39</v>
      </c>
      <c r="D41" s="10">
        <f>E38*D10</f>
        <v>698.44773335380785</v>
      </c>
      <c r="F41" s="10">
        <f t="shared" si="5"/>
        <v>8.0790728060199865E-2</v>
      </c>
      <c r="G41" s="10">
        <f t="shared" si="6"/>
        <v>8.0790728060199868</v>
      </c>
      <c r="H41" s="10">
        <f>S8*C41+0.01*E38</f>
        <v>0.53650444237107853</v>
      </c>
      <c r="I41" s="10">
        <f>N10*E38+S8*D10</f>
        <v>6.6783264282301644</v>
      </c>
      <c r="J41" s="10">
        <f t="shared" si="7"/>
        <v>7.8182816816462261E-2</v>
      </c>
    </row>
    <row r="42" spans="1:20" ht="15.75" customHeight="1" x14ac:dyDescent="0.25">
      <c r="P42" s="2" t="s">
        <v>45</v>
      </c>
    </row>
    <row r="43" spans="1:20" ht="15.75" customHeight="1" x14ac:dyDescent="0.25">
      <c r="A43" s="1" t="s">
        <v>21</v>
      </c>
      <c r="P43" s="2" t="s">
        <v>46</v>
      </c>
      <c r="Q43" s="2" t="s">
        <v>47</v>
      </c>
      <c r="R43" s="2" t="s">
        <v>48</v>
      </c>
      <c r="S43" s="2" t="s">
        <v>49</v>
      </c>
      <c r="T43" s="2" t="s">
        <v>50</v>
      </c>
    </row>
    <row r="44" spans="1:20" ht="15.75" customHeight="1" x14ac:dyDescent="0.25">
      <c r="B44" s="8" t="s">
        <v>37</v>
      </c>
      <c r="C44" s="8" t="s">
        <v>38</v>
      </c>
      <c r="D44" s="2" t="s">
        <v>39</v>
      </c>
      <c r="E44" s="8" t="s">
        <v>14</v>
      </c>
      <c r="F44" s="2" t="s">
        <v>40</v>
      </c>
      <c r="G44" s="2" t="s">
        <v>41</v>
      </c>
      <c r="H44" s="2" t="s">
        <v>42</v>
      </c>
      <c r="I44" s="2" t="s">
        <v>43</v>
      </c>
      <c r="J44" s="2" t="s">
        <v>44</v>
      </c>
      <c r="P44" s="10">
        <f t="shared" ref="P44:P45" si="8">D38</f>
        <v>47.454359777819256</v>
      </c>
      <c r="Q44" s="10">
        <f t="shared" ref="Q44:Q45" si="9">F38</f>
        <v>0.21260683760683763</v>
      </c>
      <c r="R44" s="1">
        <f t="shared" ref="R44:R46" si="10">2.355*SQRT(P$50/P44)</f>
        <v>0.34186359253948928</v>
      </c>
      <c r="T44" s="1">
        <f t="shared" ref="T44:T46" si="11">S44^2</f>
        <v>0</v>
      </c>
    </row>
    <row r="45" spans="1:20" ht="15.75" customHeight="1" x14ac:dyDescent="0.25">
      <c r="A45" s="12"/>
      <c r="B45" s="10">
        <f>E45*C45</f>
        <v>27.478913461087654</v>
      </c>
      <c r="C45" s="1">
        <f t="shared" ref="C45:C50" si="12">F11</f>
        <v>16.260000000000002</v>
      </c>
      <c r="D45" s="10">
        <f>E45*D11</f>
        <v>103.7641627620407</v>
      </c>
      <c r="E45" s="10">
        <f>E38</f>
        <v>1.689970077557666</v>
      </c>
      <c r="F45" s="10">
        <f t="shared" ref="F45:F50" si="13">B45/D45</f>
        <v>0.26482084690553748</v>
      </c>
      <c r="G45" s="10">
        <f t="shared" ref="G45:G50" si="14">F45*100</f>
        <v>26.482084690553748</v>
      </c>
      <c r="H45" s="10">
        <f>S8*C45+0.01*E45</f>
        <v>0.26993273756332331</v>
      </c>
      <c r="I45" s="10">
        <f>E11*E45+S8*D11</f>
        <v>1.1695026860353206</v>
      </c>
      <c r="J45" s="10">
        <f t="shared" ref="J45:J50" si="15">(H45/D45+I45/(D45^2))*100</f>
        <v>0.27100253745309844</v>
      </c>
      <c r="P45" s="10">
        <f t="shared" si="8"/>
        <v>221.08188554609387</v>
      </c>
      <c r="Q45" s="10">
        <f t="shared" si="9"/>
        <v>0.16205473169240175</v>
      </c>
      <c r="R45" s="1">
        <f t="shared" si="10"/>
        <v>0.15838510305511366</v>
      </c>
      <c r="S45" s="10">
        <f t="shared" ref="S45:S46" si="16">Q45-R45</f>
        <v>3.6696286372880915E-3</v>
      </c>
      <c r="T45" s="1">
        <f t="shared" si="11"/>
        <v>1.3466174335604856E-5</v>
      </c>
    </row>
    <row r="46" spans="1:20" ht="15.75" customHeight="1" x14ac:dyDescent="0.25">
      <c r="B46" s="10">
        <f>E45*C46</f>
        <v>21.073926867144095</v>
      </c>
      <c r="C46" s="1">
        <f t="shared" si="12"/>
        <v>12.47</v>
      </c>
      <c r="D46" s="10">
        <f>E45*D12</f>
        <v>244.77526603345237</v>
      </c>
      <c r="F46" s="10">
        <f t="shared" si="13"/>
        <v>8.6095001380834021E-2</v>
      </c>
      <c r="G46" s="10">
        <f t="shared" si="14"/>
        <v>8.6095001380834013</v>
      </c>
      <c r="H46" s="10">
        <f>S8*C46+0.01*E45</f>
        <v>0.2109539423956997</v>
      </c>
      <c r="I46" s="10">
        <f>E12*E45+S8*D12</f>
        <v>2.5226884009120765</v>
      </c>
      <c r="J46" s="10">
        <f t="shared" si="15"/>
        <v>9.0393154081402444E-2</v>
      </c>
      <c r="P46" s="10">
        <f>D41</f>
        <v>698.44773335380785</v>
      </c>
      <c r="Q46" s="10">
        <f>F41</f>
        <v>8.0790728060199865E-2</v>
      </c>
      <c r="R46" s="1">
        <f t="shared" si="10"/>
        <v>8.9109489433927949E-2</v>
      </c>
      <c r="S46" s="10">
        <f t="shared" si="16"/>
        <v>-8.3187613737280841E-3</v>
      </c>
      <c r="T46" s="1">
        <f t="shared" si="11"/>
        <v>6.920179079303036E-5</v>
      </c>
    </row>
    <row r="47" spans="1:20" ht="15.75" customHeight="1" x14ac:dyDescent="0.25">
      <c r="B47" s="10">
        <f t="shared" ref="B47:B48" si="17">E45*C47</f>
        <v>5.7289985629204878</v>
      </c>
      <c r="C47" s="1">
        <f t="shared" si="12"/>
        <v>3.39</v>
      </c>
      <c r="D47" s="10">
        <f>E45*D13</f>
        <v>922.87575965346593</v>
      </c>
      <c r="F47" s="10">
        <f t="shared" si="13"/>
        <v>6.2077679503378556E-3</v>
      </c>
      <c r="G47" s="10">
        <f t="shared" si="14"/>
        <v>0.62077679503378558</v>
      </c>
      <c r="H47" s="10">
        <f>S8*C47+0.01*E45</f>
        <v>6.9653820991472173E-2</v>
      </c>
      <c r="I47" s="10">
        <f>E13*E45+S8*D13</f>
        <v>8.5665933562213556</v>
      </c>
      <c r="J47" s="10">
        <f t="shared" si="15"/>
        <v>8.5532986655298404E-3</v>
      </c>
    </row>
    <row r="48" spans="1:20" ht="15.75" customHeight="1" x14ac:dyDescent="0.25">
      <c r="B48" s="10" t="e">
        <f t="shared" si="17"/>
        <v>#VALUE!</v>
      </c>
      <c r="C48" s="1" t="str">
        <f t="shared" si="12"/>
        <v>-</v>
      </c>
      <c r="D48" s="10" t="e">
        <f>E45*D14</f>
        <v>#VALUE!</v>
      </c>
      <c r="F48" s="10" t="e">
        <f t="shared" si="13"/>
        <v>#VALUE!</v>
      </c>
      <c r="G48" s="10" t="e">
        <f t="shared" si="14"/>
        <v>#VALUE!</v>
      </c>
      <c r="H48" s="10" t="e">
        <f>S8*C48+0.01*E45</f>
        <v>#VALUE!</v>
      </c>
      <c r="I48" s="10" t="e">
        <f>E14*E45+S8*D14</f>
        <v>#VALUE!</v>
      </c>
      <c r="J48" s="10" t="e">
        <f t="shared" si="15"/>
        <v>#VALUE!</v>
      </c>
      <c r="P48" s="2" t="s">
        <v>51</v>
      </c>
      <c r="T48" s="2" t="s">
        <v>52</v>
      </c>
    </row>
    <row r="49" spans="1:20" ht="15.75" customHeight="1" x14ac:dyDescent="0.25">
      <c r="A49" s="12"/>
      <c r="B49" s="10">
        <f>E45*C49</f>
        <v>62.985184790574216</v>
      </c>
      <c r="C49" s="1">
        <f t="shared" si="12"/>
        <v>37.270000000000003</v>
      </c>
      <c r="D49" s="10">
        <f>E45*D15</f>
        <v>1200.3012475853322</v>
      </c>
      <c r="F49" s="13">
        <f t="shared" si="13"/>
        <v>5.2474480816613871E-2</v>
      </c>
      <c r="G49" s="10">
        <f t="shared" si="14"/>
        <v>5.2474480816613873</v>
      </c>
      <c r="H49" s="10">
        <f>S8*C49+0.01*E45</f>
        <v>0.59688378940284093</v>
      </c>
      <c r="I49" s="10">
        <f>E15*E45+S8*D15</f>
        <v>11.299525112393093</v>
      </c>
      <c r="J49" s="10">
        <f t="shared" si="15"/>
        <v>5.0512127541765754E-2</v>
      </c>
      <c r="M49" s="10"/>
      <c r="P49" s="2" t="s">
        <v>53</v>
      </c>
      <c r="T49" s="1">
        <f>SUM(T44:T46)</f>
        <v>8.2667965128635214E-5</v>
      </c>
    </row>
    <row r="50" spans="1:20" ht="15.75" customHeight="1" x14ac:dyDescent="0.25">
      <c r="A50" s="12"/>
      <c r="B50" s="10">
        <f>E45*C50</f>
        <v>63.12038239677883</v>
      </c>
      <c r="C50" s="1">
        <f t="shared" si="12"/>
        <v>37.35</v>
      </c>
      <c r="D50" s="10">
        <f>E45*D16</f>
        <v>1355.6939962167598</v>
      </c>
      <c r="F50" s="13">
        <f t="shared" si="13"/>
        <v>4.6559461480927447E-2</v>
      </c>
      <c r="G50" s="10">
        <f t="shared" si="14"/>
        <v>4.6559461480927444</v>
      </c>
      <c r="H50" s="10">
        <f>S8*C50+0.01*E45</f>
        <v>0.59812872439318654</v>
      </c>
      <c r="I50" s="10">
        <f>E16*E545+S8*D16</f>
        <v>12.483585615690673</v>
      </c>
      <c r="J50" s="10">
        <f t="shared" si="15"/>
        <v>4.4798972936868069E-2</v>
      </c>
      <c r="M50" s="10"/>
      <c r="P50" s="2">
        <v>1</v>
      </c>
    </row>
    <row r="51" spans="1:20" ht="15.75" customHeight="1" x14ac:dyDescent="0.2"/>
    <row r="52" spans="1:20" ht="15.75" customHeight="1" x14ac:dyDescent="0.25">
      <c r="A52" s="2" t="s">
        <v>54</v>
      </c>
    </row>
    <row r="53" spans="1:20" ht="15.75" customHeight="1" x14ac:dyDescent="0.25">
      <c r="A53" s="2" t="s">
        <v>55</v>
      </c>
      <c r="B53" s="8" t="s">
        <v>37</v>
      </c>
      <c r="C53" s="8" t="s">
        <v>38</v>
      </c>
      <c r="D53" s="2" t="s">
        <v>39</v>
      </c>
      <c r="E53" s="8" t="s">
        <v>14</v>
      </c>
      <c r="F53" s="2" t="s">
        <v>40</v>
      </c>
      <c r="G53" s="2" t="s">
        <v>41</v>
      </c>
      <c r="H53" s="2" t="s">
        <v>42</v>
      </c>
      <c r="I53" s="2" t="s">
        <v>43</v>
      </c>
      <c r="J53" s="2" t="s">
        <v>44</v>
      </c>
      <c r="K53" s="2" t="s">
        <v>56</v>
      </c>
      <c r="L53" s="2" t="s">
        <v>57</v>
      </c>
    </row>
    <row r="54" spans="1:20" ht="15.75" customHeight="1" x14ac:dyDescent="0.25">
      <c r="A54" s="2">
        <v>34.25</v>
      </c>
      <c r="B54" s="10">
        <f>C54*E54</f>
        <v>10.967905803349254</v>
      </c>
      <c r="C54" s="2">
        <v>6.49</v>
      </c>
      <c r="D54" s="10">
        <f>E54*A54</f>
        <v>57.881475156350064</v>
      </c>
      <c r="E54" s="10">
        <f>E45</f>
        <v>1.689970077557666</v>
      </c>
      <c r="F54" s="10">
        <f t="shared" ref="F54:F64" si="18">B54/D54</f>
        <v>0.18948905109489053</v>
      </c>
      <c r="G54" s="10">
        <f t="shared" ref="G54:G64" si="19">F54*100</f>
        <v>18.948905109489054</v>
      </c>
      <c r="H54" s="10">
        <f>S8*C54+0.01*E54</f>
        <v>0.11789505186736483</v>
      </c>
      <c r="I54" s="10">
        <f>L54*E54+S8*A54</f>
        <v>0.54565715486158173</v>
      </c>
      <c r="J54" s="10">
        <f t="shared" ref="J54:J64" si="20">(H54/D54+I54/(D54^2))*100</f>
        <v>0.21997054874234298</v>
      </c>
      <c r="K54" s="2">
        <v>135152</v>
      </c>
      <c r="L54" s="10">
        <f t="shared" ref="L54:L64" si="21">C54/(2*SQRT(2*K54*LN(2)))</f>
        <v>7.496796711438946E-3</v>
      </c>
    </row>
    <row r="55" spans="1:20" ht="15.75" customHeight="1" x14ac:dyDescent="0.25">
      <c r="A55" s="2">
        <v>64.23</v>
      </c>
      <c r="B55" s="10">
        <f>C55*E54</f>
        <v>17.085597484108003</v>
      </c>
      <c r="C55" s="2">
        <v>10.11</v>
      </c>
      <c r="D55" s="10">
        <f>E54*A55</f>
        <v>108.5467780815289</v>
      </c>
      <c r="F55" s="10">
        <f t="shared" si="18"/>
        <v>0.15740308267164874</v>
      </c>
      <c r="G55" s="10">
        <f t="shared" si="19"/>
        <v>15.740308267164874</v>
      </c>
      <c r="H55" s="10">
        <f>S8*C55+0.01*E54</f>
        <v>0.17422836018050397</v>
      </c>
      <c r="I55" s="10">
        <f>L55*E54+S8*A55</f>
        <v>1.0835036360234038</v>
      </c>
      <c r="J55" s="10">
        <f t="shared" si="20"/>
        <v>0.16970588028555686</v>
      </c>
      <c r="K55" s="2">
        <v>7465</v>
      </c>
      <c r="L55" s="10">
        <f t="shared" si="21"/>
        <v>4.969109025352033E-2</v>
      </c>
    </row>
    <row r="56" spans="1:20" ht="15.75" customHeight="1" x14ac:dyDescent="0.25">
      <c r="A56" s="14">
        <v>86.28</v>
      </c>
      <c r="B56" s="10">
        <f>C56*E54</f>
        <v>17.609488208150879</v>
      </c>
      <c r="C56" s="2">
        <v>10.42</v>
      </c>
      <c r="D56" s="10">
        <f>E54*A56</f>
        <v>145.81061829167544</v>
      </c>
      <c r="F56" s="10">
        <f t="shared" si="18"/>
        <v>0.12076958738989335</v>
      </c>
      <c r="G56" s="10">
        <f t="shared" si="19"/>
        <v>12.076958738989335</v>
      </c>
      <c r="H56" s="10">
        <f>S8*C56+0.01*E54</f>
        <v>0.17905248326809325</v>
      </c>
      <c r="I56" s="10">
        <f>L56*E54+S8*A56</f>
        <v>1.3672646002000151</v>
      </c>
      <c r="J56" s="10">
        <f t="shared" si="20"/>
        <v>0.12922890988691521</v>
      </c>
      <c r="K56" s="2">
        <v>92391</v>
      </c>
      <c r="L56" s="10">
        <f t="shared" si="21"/>
        <v>1.4557780305685816E-2</v>
      </c>
    </row>
    <row r="57" spans="1:20" ht="15.75" customHeight="1" x14ac:dyDescent="0.25">
      <c r="A57" s="2">
        <v>115.33</v>
      </c>
      <c r="B57" s="10">
        <f>C57*E54</f>
        <v>14.178848950708819</v>
      </c>
      <c r="C57" s="2">
        <v>8.39</v>
      </c>
      <c r="D57" s="10">
        <f>E54*A57</f>
        <v>194.90424904472562</v>
      </c>
      <c r="F57" s="10">
        <f t="shared" si="18"/>
        <v>7.2747767276510888E-2</v>
      </c>
      <c r="G57" s="10">
        <f t="shared" si="19"/>
        <v>7.2747767276510888</v>
      </c>
      <c r="H57" s="10">
        <f>S8*C57+0.01*E54</f>
        <v>0.14746225788807321</v>
      </c>
      <c r="I57" s="10">
        <f>L57*E54+S8*A57</f>
        <v>1.9155893424028476</v>
      </c>
      <c r="J57" s="10">
        <f t="shared" si="20"/>
        <v>8.070148279152628E-2</v>
      </c>
      <c r="K57" s="2">
        <v>2482</v>
      </c>
      <c r="L57" s="10">
        <f t="shared" si="21"/>
        <v>7.1516021822418188E-2</v>
      </c>
    </row>
    <row r="58" spans="1:20" ht="15.75" customHeight="1" x14ac:dyDescent="0.25">
      <c r="A58" s="15">
        <v>162.26</v>
      </c>
      <c r="B58" s="10">
        <f>C58*E54</f>
        <v>26.600129020757663</v>
      </c>
      <c r="C58" s="2">
        <v>15.74</v>
      </c>
      <c r="D58" s="10">
        <f>E54*A58</f>
        <v>274.21454478450687</v>
      </c>
      <c r="F58" s="10">
        <f t="shared" si="18"/>
        <v>9.7004807099716511E-2</v>
      </c>
      <c r="G58" s="10">
        <f t="shared" si="19"/>
        <v>9.7004807099716519</v>
      </c>
      <c r="H58" s="10">
        <f>S8*C58+0.01*E54</f>
        <v>0.26184066012607676</v>
      </c>
      <c r="I58" s="10">
        <f>L58*E54+S8*A58</f>
        <v>2.6125871434484376</v>
      </c>
      <c r="J58" s="10">
        <f t="shared" si="20"/>
        <v>9.8961996987286693E-2</v>
      </c>
      <c r="K58" s="2">
        <v>16648</v>
      </c>
      <c r="L58" s="10">
        <f t="shared" si="21"/>
        <v>5.1804319166682537E-2</v>
      </c>
    </row>
    <row r="59" spans="1:20" ht="15.75" customHeight="1" x14ac:dyDescent="0.25">
      <c r="A59" s="14">
        <v>223.93</v>
      </c>
      <c r="B59" s="10">
        <f>C59*E54</f>
        <v>38.14262465047652</v>
      </c>
      <c r="C59" s="2">
        <v>22.57</v>
      </c>
      <c r="D59" s="10">
        <f>E54*A59</f>
        <v>378.43499946748818</v>
      </c>
      <c r="F59" s="10">
        <f t="shared" si="18"/>
        <v>0.10079042557942212</v>
      </c>
      <c r="G59" s="10">
        <f t="shared" si="19"/>
        <v>10.079042557942213</v>
      </c>
      <c r="H59" s="10">
        <f t="shared" ref="H59:H60" si="22">S8*C59+0.01*E54</f>
        <v>0.36812698492683382</v>
      </c>
      <c r="I59" s="10">
        <f>L59*E54+S8*A59</f>
        <v>3.55329829324682</v>
      </c>
      <c r="J59" s="10">
        <f t="shared" si="20"/>
        <v>9.9757274084438533E-2</v>
      </c>
      <c r="K59" s="2">
        <v>55801</v>
      </c>
      <c r="L59" s="10">
        <f t="shared" si="21"/>
        <v>4.057446892476451E-2</v>
      </c>
    </row>
    <row r="60" spans="1:20" ht="15.75" customHeight="1" x14ac:dyDescent="0.25">
      <c r="A60" s="16" t="s">
        <v>24</v>
      </c>
      <c r="B60" s="10" t="e">
        <f>C60*E60</f>
        <v>#VALUE!</v>
      </c>
      <c r="C60" s="16" t="s">
        <v>24</v>
      </c>
      <c r="D60" s="10" t="e">
        <f>E54*A60</f>
        <v>#VALUE!</v>
      </c>
      <c r="F60" s="10" t="e">
        <f t="shared" si="18"/>
        <v>#VALUE!</v>
      </c>
      <c r="G60" s="10" t="e">
        <f t="shared" si="19"/>
        <v>#VALUE!</v>
      </c>
      <c r="H60" s="10" t="e">
        <f t="shared" si="22"/>
        <v>#VALUE!</v>
      </c>
      <c r="I60" s="10" t="e">
        <f>L60*E54+S8*A60</f>
        <v>#VALUE!</v>
      </c>
      <c r="J60" s="10" t="e">
        <f t="shared" si="20"/>
        <v>#VALUE!</v>
      </c>
      <c r="K60" s="2">
        <v>320</v>
      </c>
      <c r="L60" s="10" t="e">
        <f t="shared" si="21"/>
        <v>#VALUE!</v>
      </c>
    </row>
    <row r="61" spans="1:20" ht="15.75" customHeight="1" x14ac:dyDescent="0.25">
      <c r="A61" s="17">
        <v>484.1</v>
      </c>
      <c r="B61" s="10">
        <f>C61*E54</f>
        <v>52.591868813594566</v>
      </c>
      <c r="C61" s="16">
        <v>31.12</v>
      </c>
      <c r="D61" s="10">
        <f>E54*A61</f>
        <v>818.11451454566622</v>
      </c>
      <c r="F61" s="10">
        <f t="shared" si="18"/>
        <v>6.4284238793637663E-2</v>
      </c>
      <c r="G61" s="10">
        <f t="shared" si="19"/>
        <v>6.4284238793637662</v>
      </c>
      <c r="H61" s="10">
        <f>S8*C61+0.01*E56</f>
        <v>0.48427971124444497</v>
      </c>
      <c r="I61" s="10">
        <f>L61*E54+S8*A61</f>
        <v>7.8220285813257142</v>
      </c>
      <c r="J61" s="10">
        <f t="shared" si="20"/>
        <v>6.0363279970053738E-2</v>
      </c>
      <c r="K61" s="2">
        <v>5988</v>
      </c>
      <c r="L61" s="10">
        <f t="shared" si="21"/>
        <v>0.17078155692194599</v>
      </c>
    </row>
    <row r="62" spans="1:20" ht="15.75" customHeight="1" x14ac:dyDescent="0.25">
      <c r="A62" s="18">
        <v>598.96</v>
      </c>
      <c r="B62" s="10">
        <f>C62*E54</f>
        <v>29.811072168117231</v>
      </c>
      <c r="C62" s="16">
        <v>17.64</v>
      </c>
      <c r="D62" s="10">
        <f>E54*A62</f>
        <v>1012.2244776539397</v>
      </c>
      <c r="F62" s="10">
        <f t="shared" si="18"/>
        <v>2.9451048484039E-2</v>
      </c>
      <c r="G62" s="10">
        <f t="shared" si="19"/>
        <v>2.9451048484039002</v>
      </c>
      <c r="H62" s="10">
        <f>S8*C62+0.01*E57</f>
        <v>0.27450816537120853</v>
      </c>
      <c r="I62" s="10">
        <f>L62*E54+S8*A62</f>
        <v>9.6037640289987145</v>
      </c>
      <c r="J62" s="10">
        <f t="shared" si="20"/>
        <v>2.8056617134301756E-2</v>
      </c>
      <c r="K62" s="2">
        <v>2002</v>
      </c>
      <c r="L62" s="10">
        <f t="shared" si="21"/>
        <v>0.16742057154643725</v>
      </c>
    </row>
    <row r="63" spans="1:20" ht="15.75" customHeight="1" x14ac:dyDescent="0.25">
      <c r="A63" s="18">
        <v>668.81</v>
      </c>
      <c r="B63" s="10">
        <f>C63*E54</f>
        <v>29.067485333991854</v>
      </c>
      <c r="C63" s="19">
        <v>17.2</v>
      </c>
      <c r="D63" s="10">
        <f>E54*A63</f>
        <v>1130.2688875713425</v>
      </c>
      <c r="F63" s="10">
        <f t="shared" si="18"/>
        <v>2.5717318819993722E-2</v>
      </c>
      <c r="G63" s="10">
        <f t="shared" si="19"/>
        <v>2.571731881999372</v>
      </c>
      <c r="H63" s="10">
        <f>S8*C63+0.01*E58</f>
        <v>0.2676610229243076</v>
      </c>
      <c r="I63" s="10">
        <f>L63*E54+S8*A63</f>
        <v>10.708078293207944</v>
      </c>
      <c r="J63" s="10">
        <f t="shared" si="20"/>
        <v>2.4519381812486061E-2</v>
      </c>
      <c r="K63" s="2">
        <v>1690</v>
      </c>
      <c r="L63" s="10">
        <f t="shared" si="21"/>
        <v>0.17767542812280934</v>
      </c>
    </row>
    <row r="64" spans="1:20" ht="15.75" customHeight="1" x14ac:dyDescent="0.25">
      <c r="A64" s="14">
        <v>843.89</v>
      </c>
      <c r="B64" s="10">
        <f>C64*E54</f>
        <v>55.43101854389144</v>
      </c>
      <c r="C64" s="19">
        <v>32.799999999999997</v>
      </c>
      <c r="D64" s="10">
        <f>E54*A64</f>
        <v>1426.1488487501388</v>
      </c>
      <c r="F64" s="10">
        <f t="shared" si="18"/>
        <v>3.886762492741945E-2</v>
      </c>
      <c r="G64" s="10">
        <f t="shared" si="19"/>
        <v>3.8867624927419451</v>
      </c>
      <c r="H64" s="10">
        <f>S8*C64+0.01*E59</f>
        <v>0.51042334604170281</v>
      </c>
      <c r="I64" s="10">
        <f>L64*E54+S8*A64</f>
        <v>13.558304320050212</v>
      </c>
      <c r="J64" s="10">
        <f t="shared" si="20"/>
        <v>3.6456943567813621E-2</v>
      </c>
      <c r="K64" s="2">
        <v>3054</v>
      </c>
      <c r="L64" s="10">
        <f t="shared" si="21"/>
        <v>0.25204704105250431</v>
      </c>
    </row>
    <row r="65" spans="1:12" ht="15.75" customHeight="1" x14ac:dyDescent="0.25">
      <c r="C65" s="20"/>
    </row>
    <row r="66" spans="1:12" ht="15.75" customHeight="1" x14ac:dyDescent="0.25">
      <c r="C66" s="20"/>
    </row>
    <row r="67" spans="1:12" ht="15.75" customHeight="1" x14ac:dyDescent="0.25">
      <c r="A67" s="2" t="s">
        <v>58</v>
      </c>
    </row>
    <row r="68" spans="1:12" ht="15.75" customHeight="1" x14ac:dyDescent="0.25">
      <c r="A68" s="2" t="s">
        <v>55</v>
      </c>
      <c r="B68" s="8" t="s">
        <v>37</v>
      </c>
      <c r="C68" s="8" t="s">
        <v>38</v>
      </c>
      <c r="D68" s="2" t="s">
        <v>39</v>
      </c>
      <c r="E68" s="8" t="s">
        <v>14</v>
      </c>
      <c r="F68" s="2" t="s">
        <v>40</v>
      </c>
      <c r="G68" s="2" t="s">
        <v>41</v>
      </c>
      <c r="H68" s="2" t="s">
        <v>42</v>
      </c>
      <c r="I68" s="2" t="s">
        <v>43</v>
      </c>
      <c r="J68" s="2" t="s">
        <v>44</v>
      </c>
      <c r="K68" s="2" t="s">
        <v>56</v>
      </c>
      <c r="L68" s="2" t="s">
        <v>57</v>
      </c>
    </row>
    <row r="69" spans="1:12" ht="15.75" customHeight="1" x14ac:dyDescent="0.25">
      <c r="A69" s="2">
        <v>69.489999999999995</v>
      </c>
      <c r="B69" s="10">
        <f>C69*E69</f>
        <v>5.0232600000000005</v>
      </c>
      <c r="C69" s="2">
        <v>3.54</v>
      </c>
      <c r="D69" s="10">
        <f>E69*A69</f>
        <v>98.606309999999993</v>
      </c>
      <c r="E69" s="2">
        <v>1.419</v>
      </c>
      <c r="F69" s="10">
        <f>B69/D69</f>
        <v>5.0942581666426831E-2</v>
      </c>
      <c r="G69" s="10">
        <f>F69*100</f>
        <v>5.0942581666426827</v>
      </c>
      <c r="H69" s="10">
        <f>S8*C69+0.01*E69</f>
        <v>6.9278373322793546E-2</v>
      </c>
      <c r="I69" s="10">
        <f>L69*E69+S8*A69</f>
        <v>1.1772610618134403</v>
      </c>
      <c r="J69" s="10">
        <f>(H69/D69+I69/(D69^2))*100</f>
        <v>8.2365293495118785E-2</v>
      </c>
      <c r="K69" s="2">
        <v>495</v>
      </c>
      <c r="L69" s="10">
        <f>C69/(2*SQRT(2*K69*LN(2)))</f>
        <v>6.756829163106344E-2</v>
      </c>
    </row>
    <row r="70" spans="1:12" ht="15.75" customHeight="1" x14ac:dyDescent="0.25">
      <c r="B70" s="10"/>
      <c r="D70" s="10"/>
      <c r="F70" s="10"/>
      <c r="G70" s="10"/>
      <c r="H70" s="10"/>
      <c r="I70" s="10"/>
      <c r="J70" s="10"/>
    </row>
    <row r="71" spans="1:12" ht="15.75" customHeight="1" x14ac:dyDescent="0.25">
      <c r="B71" s="10"/>
      <c r="D71" s="10"/>
      <c r="F71" s="10"/>
      <c r="G71" s="10"/>
    </row>
    <row r="72" spans="1:12" ht="15.75" customHeight="1" x14ac:dyDescent="0.25">
      <c r="B72" s="10"/>
      <c r="D72" s="10"/>
      <c r="F72" s="10"/>
      <c r="G72" s="10"/>
    </row>
    <row r="73" spans="1:12" ht="15.75" customHeight="1" x14ac:dyDescent="0.25">
      <c r="B73" s="10"/>
      <c r="D73" s="10"/>
      <c r="F73" s="10"/>
      <c r="G73" s="10"/>
    </row>
    <row r="74" spans="1:12" ht="15.75" customHeight="1" x14ac:dyDescent="0.25">
      <c r="B74" s="10"/>
      <c r="D74" s="10"/>
      <c r="F74" s="10"/>
      <c r="G74" s="10"/>
    </row>
    <row r="75" spans="1:12" ht="15.75" customHeight="1" x14ac:dyDescent="0.25">
      <c r="A75" s="16"/>
      <c r="B75" s="10"/>
      <c r="C75" s="16"/>
      <c r="D75" s="10"/>
      <c r="F75" s="10"/>
      <c r="G75" s="10"/>
    </row>
    <row r="76" spans="1:12" ht="15.75" customHeight="1" x14ac:dyDescent="0.25">
      <c r="A76" s="16"/>
      <c r="B76" s="10"/>
      <c r="C76" s="16"/>
      <c r="D76" s="10"/>
      <c r="F76" s="10"/>
      <c r="G76" s="10"/>
    </row>
    <row r="77" spans="1:12" ht="15.75" customHeight="1" x14ac:dyDescent="0.25">
      <c r="A77" s="16"/>
      <c r="B77" s="10"/>
      <c r="C77" s="16"/>
      <c r="D77" s="10"/>
      <c r="F77" s="10"/>
      <c r="G77" s="10"/>
    </row>
    <row r="78" spans="1:12" ht="15.75" customHeight="1" x14ac:dyDescent="0.25">
      <c r="A78" s="19"/>
      <c r="B78" s="10"/>
      <c r="C78" s="19"/>
      <c r="D78" s="10"/>
      <c r="F78" s="10"/>
      <c r="G78" s="10"/>
    </row>
    <row r="79" spans="1:12" ht="15.75" customHeight="1" x14ac:dyDescent="0.25">
      <c r="B79" s="10"/>
      <c r="C79" s="19"/>
      <c r="D79" s="10"/>
      <c r="F79" s="10"/>
      <c r="G79" s="10"/>
    </row>
    <row r="80" spans="1:12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tabSelected="1" workbookViewId="0"/>
  </sheetViews>
  <sheetFormatPr defaultColWidth="12.625" defaultRowHeight="15" customHeight="1" x14ac:dyDescent="0.2"/>
  <cols>
    <col min="1" max="2" width="7.625" customWidth="1"/>
    <col min="3" max="3" width="8.125" customWidth="1"/>
    <col min="4" max="28" width="7.625" customWidth="1"/>
  </cols>
  <sheetData>
    <row r="1" spans="1:27" x14ac:dyDescent="0.25">
      <c r="A1" s="2" t="s">
        <v>60</v>
      </c>
    </row>
    <row r="2" spans="1:27" x14ac:dyDescent="0.25">
      <c r="A2" s="2" t="s">
        <v>61</v>
      </c>
    </row>
    <row r="3" spans="1:27" x14ac:dyDescent="0.25">
      <c r="A3" s="2" t="s">
        <v>59</v>
      </c>
      <c r="B3" s="2" t="s">
        <v>62</v>
      </c>
      <c r="C3" s="2" t="s">
        <v>63</v>
      </c>
      <c r="D3" s="2"/>
      <c r="E3" s="2" t="s">
        <v>64</v>
      </c>
      <c r="F3" s="2"/>
      <c r="G3" s="2" t="s">
        <v>65</v>
      </c>
      <c r="I3" s="2" t="s">
        <v>38</v>
      </c>
      <c r="K3" s="2" t="s">
        <v>66</v>
      </c>
      <c r="O3" s="21">
        <f t="array" ref="O3:P4">LINEST(Q15:Q19,P15:P19,TRUE,TRUE)</f>
        <v>-0.1011423304879574</v>
      </c>
      <c r="P3" s="1">
        <v>-1.1996925344107012E-2</v>
      </c>
      <c r="R3" s="21">
        <f t="array" ref="R3:S7">LINEST(Q22:Q26,P15:P19,TRUE,TRUE)</f>
        <v>-0.13148289074111777</v>
      </c>
      <c r="S3" s="1">
        <v>-4.1743067159131786E-2</v>
      </c>
    </row>
    <row r="4" spans="1:27" x14ac:dyDescent="0.25">
      <c r="A4" s="2">
        <v>0</v>
      </c>
      <c r="B4" s="2">
        <v>0</v>
      </c>
      <c r="C4" s="2">
        <v>108962</v>
      </c>
      <c r="D4" s="2">
        <v>330</v>
      </c>
      <c r="E4" s="2">
        <v>88950</v>
      </c>
      <c r="F4" s="2">
        <v>599</v>
      </c>
      <c r="G4" s="2">
        <v>416.59</v>
      </c>
      <c r="H4" s="21">
        <f t="shared" ref="H4:H9" si="0">I4/(2*SQRT(2*E4*LN(2)))</f>
        <v>4.8625044052531576E-2</v>
      </c>
      <c r="I4" s="2">
        <v>34.15</v>
      </c>
      <c r="O4" s="1">
        <v>8.8949859095950583E-3</v>
      </c>
      <c r="P4" s="1">
        <v>3.5077381883289356E-2</v>
      </c>
      <c r="R4" s="1">
        <v>3.189115193705129E-2</v>
      </c>
      <c r="S4" s="1">
        <v>0.12576277540667602</v>
      </c>
    </row>
    <row r="5" spans="1:27" x14ac:dyDescent="0.25">
      <c r="A5" s="2" t="s">
        <v>67</v>
      </c>
      <c r="B5" s="2">
        <v>947.7</v>
      </c>
      <c r="C5" s="22">
        <v>98705</v>
      </c>
      <c r="D5" s="2">
        <v>314</v>
      </c>
      <c r="E5" s="2">
        <v>79280</v>
      </c>
      <c r="F5" s="2">
        <v>584</v>
      </c>
      <c r="G5" s="2">
        <v>416.36</v>
      </c>
      <c r="H5" s="21">
        <f t="shared" si="0"/>
        <v>5.1535374226346055E-2</v>
      </c>
      <c r="I5" s="2">
        <v>34.17</v>
      </c>
      <c r="R5" s="1">
        <v>0.84998507171883875</v>
      </c>
      <c r="S5" s="1">
        <v>0.15868234373808876</v>
      </c>
    </row>
    <row r="6" spans="1:27" x14ac:dyDescent="0.25">
      <c r="A6" s="2" t="s">
        <v>68</v>
      </c>
      <c r="B6" s="2">
        <v>1809.1</v>
      </c>
      <c r="C6" s="2">
        <v>91431</v>
      </c>
      <c r="D6" s="2">
        <v>302</v>
      </c>
      <c r="E6" s="2">
        <v>71137</v>
      </c>
      <c r="F6" s="2">
        <v>576</v>
      </c>
      <c r="G6" s="2">
        <v>416.15</v>
      </c>
      <c r="H6" s="21">
        <f t="shared" si="0"/>
        <v>5.3895583224409099E-2</v>
      </c>
      <c r="I6" s="2">
        <v>33.85</v>
      </c>
      <c r="R6" s="1">
        <v>16.998009760584182</v>
      </c>
      <c r="S6" s="1">
        <v>3</v>
      </c>
    </row>
    <row r="7" spans="1:27" x14ac:dyDescent="0.25">
      <c r="A7" s="2" t="s">
        <v>69</v>
      </c>
      <c r="B7" s="2">
        <v>2014.7</v>
      </c>
      <c r="C7" s="2">
        <v>87997</v>
      </c>
      <c r="D7" s="2">
        <v>297</v>
      </c>
      <c r="E7" s="2">
        <v>65351</v>
      </c>
      <c r="F7" s="2">
        <v>584</v>
      </c>
      <c r="G7" s="2">
        <v>416.59</v>
      </c>
      <c r="H7" s="21">
        <f t="shared" si="0"/>
        <v>5.5267390325029878E-2</v>
      </c>
      <c r="I7" s="2">
        <v>33.270000000000003</v>
      </c>
      <c r="R7" s="1">
        <v>0.42801135124154305</v>
      </c>
      <c r="S7" s="1">
        <v>7.5540258642638872E-2</v>
      </c>
    </row>
    <row r="8" spans="1:27" x14ac:dyDescent="0.25">
      <c r="A8" s="2" t="s">
        <v>70</v>
      </c>
      <c r="B8" s="2">
        <v>4465</v>
      </c>
      <c r="C8" s="2">
        <v>64225</v>
      </c>
      <c r="D8" s="2">
        <v>253</v>
      </c>
      <c r="E8" s="2">
        <v>37610</v>
      </c>
      <c r="F8" s="2">
        <v>543</v>
      </c>
      <c r="G8" s="2">
        <v>416</v>
      </c>
      <c r="H8" s="21">
        <f t="shared" si="0"/>
        <v>6.3655457092793924E-2</v>
      </c>
      <c r="I8" s="2">
        <v>29.07</v>
      </c>
    </row>
    <row r="9" spans="1:27" x14ac:dyDescent="0.25">
      <c r="A9" s="2" t="s">
        <v>71</v>
      </c>
      <c r="B9" s="2">
        <v>7042</v>
      </c>
      <c r="C9" s="2">
        <v>54661</v>
      </c>
      <c r="D9" s="2">
        <v>234</v>
      </c>
      <c r="E9" s="2">
        <v>38347</v>
      </c>
      <c r="F9" s="2">
        <v>487</v>
      </c>
      <c r="G9" s="2">
        <v>415.81</v>
      </c>
      <c r="H9" s="21">
        <f t="shared" si="0"/>
        <v>7.1671755670328519E-2</v>
      </c>
      <c r="I9" s="2">
        <v>33.049999999999997</v>
      </c>
    </row>
    <row r="11" spans="1:27" x14ac:dyDescent="0.25">
      <c r="A11" s="2" t="s">
        <v>72</v>
      </c>
      <c r="B11" s="2" t="s">
        <v>73</v>
      </c>
      <c r="C11" s="2" t="s">
        <v>9</v>
      </c>
      <c r="D11" s="2" t="s">
        <v>74</v>
      </c>
      <c r="E11" s="2" t="s">
        <v>75</v>
      </c>
    </row>
    <row r="12" spans="1:27" x14ac:dyDescent="0.25">
      <c r="A12" s="1">
        <f t="shared" ref="A12:A16" si="1">C5/$C$4</f>
        <v>0.90586626530350034</v>
      </c>
      <c r="B12" s="1">
        <f t="shared" ref="B12:B16" si="2">LN(A12)</f>
        <v>-9.8863593874878516E-2</v>
      </c>
      <c r="C12" s="1">
        <f t="shared" ref="C12:C16" si="3">SQRT(($D$4/$C$4)*($D$4/$C$4) + (D5/C5)*(D5/C5))</f>
        <v>4.3923001385264334E-3</v>
      </c>
      <c r="D12" s="1">
        <f t="shared" ref="D12:D16" si="4">C12/A12</f>
        <v>4.8487291190326453E-3</v>
      </c>
      <c r="E12" s="1">
        <f t="shared" ref="E12:E16" si="5">SQRT(D5*D5 + ($C$5/$C$4)*D4*D4)/($C$4*A12)</f>
        <v>4.4994939109430131E-3</v>
      </c>
      <c r="F12" s="1">
        <f t="shared" ref="F12:F16" si="6">SQRT(($D$4/$C$4)*($D$4/$C$4) + (D5/C5)*(D5/C5))</f>
        <v>4.3923001385264334E-3</v>
      </c>
    </row>
    <row r="13" spans="1:27" x14ac:dyDescent="0.25">
      <c r="A13" s="1">
        <f t="shared" si="1"/>
        <v>0.83910904719076373</v>
      </c>
      <c r="B13" s="1">
        <f t="shared" si="2"/>
        <v>-0.17541460814688248</v>
      </c>
      <c r="C13" s="1">
        <f t="shared" si="3"/>
        <v>4.4813328966790784E-3</v>
      </c>
      <c r="D13" s="1">
        <f t="shared" si="4"/>
        <v>5.3405846494946549E-3</v>
      </c>
      <c r="E13" s="1">
        <f t="shared" si="5"/>
        <v>4.6469471954887322E-3</v>
      </c>
      <c r="F13" s="1">
        <f t="shared" si="6"/>
        <v>4.4813328966790784E-3</v>
      </c>
      <c r="P13" s="2" t="s">
        <v>76</v>
      </c>
    </row>
    <row r="14" spans="1:27" x14ac:dyDescent="0.25">
      <c r="A14" s="1">
        <f t="shared" si="1"/>
        <v>0.80759347295387385</v>
      </c>
      <c r="B14" s="1">
        <f t="shared" si="2"/>
        <v>-0.21369647460450239</v>
      </c>
      <c r="C14" s="1">
        <f t="shared" si="3"/>
        <v>4.5347206135383971E-3</v>
      </c>
      <c r="D14" s="1">
        <f t="shared" si="4"/>
        <v>5.6151031000189868E-3</v>
      </c>
      <c r="E14" s="1">
        <f t="shared" si="5"/>
        <v>4.6968986326965901E-3</v>
      </c>
      <c r="F14" s="1">
        <f t="shared" si="6"/>
        <v>4.5347206135383971E-3</v>
      </c>
      <c r="O14" s="2" t="s">
        <v>63</v>
      </c>
      <c r="P14" s="2" t="s">
        <v>77</v>
      </c>
      <c r="Q14" s="2" t="s">
        <v>78</v>
      </c>
      <c r="R14" s="2" t="s">
        <v>79</v>
      </c>
    </row>
    <row r="15" spans="1:27" ht="15.75" x14ac:dyDescent="0.25">
      <c r="A15" s="1">
        <f t="shared" si="1"/>
        <v>0.58942567133496082</v>
      </c>
      <c r="B15" s="1">
        <f t="shared" si="2"/>
        <v>-0.52860665459656242</v>
      </c>
      <c r="C15" s="1">
        <f t="shared" si="3"/>
        <v>4.9689218789239469E-3</v>
      </c>
      <c r="D15" s="1">
        <f t="shared" si="4"/>
        <v>8.4301076803629596E-3</v>
      </c>
      <c r="E15" s="1">
        <f t="shared" si="5"/>
        <v>5.906745379520904E-3</v>
      </c>
      <c r="F15" s="1">
        <f t="shared" si="6"/>
        <v>4.9689218789239469E-3</v>
      </c>
      <c r="P15" s="1">
        <f t="shared" ref="P15:P19" si="7">B5/1000</f>
        <v>0.9477000000000001</v>
      </c>
      <c r="Q15" s="1">
        <f t="shared" ref="Q15:R15" si="8">B12</f>
        <v>-9.8863593874878516E-2</v>
      </c>
      <c r="R15" s="1">
        <f t="shared" si="8"/>
        <v>4.3923001385264334E-3</v>
      </c>
      <c r="T15" s="1">
        <f t="shared" ref="T15:U15" si="9">P15</f>
        <v>0.9477000000000001</v>
      </c>
      <c r="U15" s="1">
        <f t="shared" si="9"/>
        <v>-9.8863593874878516E-2</v>
      </c>
      <c r="V15" s="1">
        <f t="shared" ref="V15:V19" si="10">F12</f>
        <v>4.3923001385264334E-3</v>
      </c>
      <c r="X15" s="2" t="s">
        <v>80</v>
      </c>
      <c r="Y15" s="23" t="s">
        <v>81</v>
      </c>
      <c r="AA15" s="1">
        <f>(0.102-0.105)/0.105*100</f>
        <v>-2.8571428571428599</v>
      </c>
    </row>
    <row r="16" spans="1:27" ht="15.75" x14ac:dyDescent="0.25">
      <c r="A16" s="1">
        <f t="shared" si="1"/>
        <v>0.50165195205668034</v>
      </c>
      <c r="B16" s="1">
        <f t="shared" si="2"/>
        <v>-0.68984872234592376</v>
      </c>
      <c r="C16" s="1">
        <f t="shared" si="3"/>
        <v>5.243916893967109E-3</v>
      </c>
      <c r="D16" s="1">
        <f t="shared" si="4"/>
        <v>1.0453297096658386E-2</v>
      </c>
      <c r="E16" s="1">
        <f t="shared" si="5"/>
        <v>6.1427191594479943E-3</v>
      </c>
      <c r="F16" s="1">
        <f t="shared" si="6"/>
        <v>5.243916893967109E-3</v>
      </c>
      <c r="P16" s="1">
        <f t="shared" si="7"/>
        <v>1.8090999999999999</v>
      </c>
      <c r="Q16" s="1">
        <f t="shared" ref="Q16:R16" si="11">B13</f>
        <v>-0.17541460814688248</v>
      </c>
      <c r="R16" s="1">
        <f t="shared" si="11"/>
        <v>4.4813328966790784E-3</v>
      </c>
      <c r="T16" s="1">
        <f t="shared" ref="T16:U16" si="12">P16</f>
        <v>1.8090999999999999</v>
      </c>
      <c r="U16" s="1">
        <f t="shared" si="12"/>
        <v>-0.17541460814688248</v>
      </c>
      <c r="V16" s="1">
        <f t="shared" si="10"/>
        <v>4.4813328966790784E-3</v>
      </c>
      <c r="X16" s="2" t="s">
        <v>82</v>
      </c>
      <c r="Y16" s="23" t="s">
        <v>83</v>
      </c>
    </row>
    <row r="17" spans="1:22" x14ac:dyDescent="0.25">
      <c r="P17" s="1">
        <f t="shared" si="7"/>
        <v>2.0146999999999999</v>
      </c>
      <c r="Q17" s="1">
        <f t="shared" ref="Q17:R17" si="13">B14</f>
        <v>-0.21369647460450239</v>
      </c>
      <c r="R17" s="1">
        <f t="shared" si="13"/>
        <v>4.5347206135383971E-3</v>
      </c>
      <c r="T17" s="1">
        <f t="shared" ref="T17:U17" si="14">P17</f>
        <v>2.0146999999999999</v>
      </c>
      <c r="U17" s="1">
        <f t="shared" si="14"/>
        <v>-0.21369647460450239</v>
      </c>
      <c r="V17" s="1">
        <f t="shared" si="10"/>
        <v>4.5347206135383971E-3</v>
      </c>
    </row>
    <row r="18" spans="1:22" x14ac:dyDescent="0.25">
      <c r="P18" s="1">
        <f t="shared" si="7"/>
        <v>4.4649999999999999</v>
      </c>
      <c r="Q18" s="1">
        <f t="shared" ref="Q18:R18" si="15">B15</f>
        <v>-0.52860665459656242</v>
      </c>
      <c r="R18" s="1">
        <f t="shared" si="15"/>
        <v>4.9689218789239469E-3</v>
      </c>
      <c r="T18" s="1">
        <f t="shared" ref="T18:U18" si="16">P18</f>
        <v>4.4649999999999999</v>
      </c>
      <c r="U18" s="1">
        <f t="shared" si="16"/>
        <v>-0.52860665459656242</v>
      </c>
      <c r="V18" s="1">
        <f t="shared" si="10"/>
        <v>4.9689218789239469E-3</v>
      </c>
    </row>
    <row r="19" spans="1:22" x14ac:dyDescent="0.25">
      <c r="A19" s="2" t="s">
        <v>84</v>
      </c>
      <c r="B19" s="2" t="s">
        <v>85</v>
      </c>
      <c r="C19" s="2" t="s">
        <v>9</v>
      </c>
      <c r="D19" s="2" t="s">
        <v>74</v>
      </c>
      <c r="P19" s="1">
        <f t="shared" si="7"/>
        <v>7.0419999999999998</v>
      </c>
      <c r="Q19" s="1">
        <f t="shared" ref="Q19:R19" si="17">B16</f>
        <v>-0.68984872234592376</v>
      </c>
      <c r="R19" s="1">
        <f t="shared" si="17"/>
        <v>5.243916893967109E-3</v>
      </c>
      <c r="T19" s="1">
        <f t="shared" ref="T19:U19" si="18">P19</f>
        <v>7.0419999999999998</v>
      </c>
      <c r="U19" s="1">
        <f t="shared" si="18"/>
        <v>-0.68984872234592376</v>
      </c>
      <c r="V19" s="1">
        <f t="shared" si="10"/>
        <v>5.243916893967109E-3</v>
      </c>
    </row>
    <row r="20" spans="1:22" x14ac:dyDescent="0.25">
      <c r="A20" s="1">
        <f t="shared" ref="A20:A24" si="19">E5/$E$4</f>
        <v>0.89128724002248449</v>
      </c>
      <c r="B20" s="1">
        <f t="shared" ref="B20:B24" si="20">LN(A20)</f>
        <v>-0.11508852409011165</v>
      </c>
      <c r="C20" s="1">
        <f t="shared" ref="C20:C24" si="21">SQRT((SQRT($E$4)/($E$4))*(SQRT($E$4)/($E$4))+(SQRT(E5)/(E5))*(SQRT(E5)/(E5)))</f>
        <v>4.8842392072857097E-3</v>
      </c>
      <c r="D20" s="1">
        <f t="shared" ref="D20:D24" si="22">C20/A20</f>
        <v>5.4799833184670018E-3</v>
      </c>
      <c r="P20" s="2" t="s">
        <v>77</v>
      </c>
      <c r="Q20" s="2" t="s">
        <v>78</v>
      </c>
      <c r="R20" s="2" t="s">
        <v>79</v>
      </c>
    </row>
    <row r="21" spans="1:22" ht="15.75" customHeight="1" x14ac:dyDescent="0.25">
      <c r="A21" s="1">
        <f t="shared" si="19"/>
        <v>0.79974142776840917</v>
      </c>
      <c r="B21" s="1">
        <f t="shared" si="20"/>
        <v>-0.22346681884901792</v>
      </c>
      <c r="C21" s="1">
        <f t="shared" si="21"/>
        <v>5.0298760594084183E-3</v>
      </c>
      <c r="D21" s="1">
        <f t="shared" si="22"/>
        <v>6.2893778973583201E-3</v>
      </c>
      <c r="O21" s="2" t="s">
        <v>86</v>
      </c>
      <c r="P21" s="1">
        <f>B4</f>
        <v>0</v>
      </c>
      <c r="Q21" s="2">
        <v>0</v>
      </c>
      <c r="R21" s="2" t="s">
        <v>87</v>
      </c>
      <c r="T21" s="1">
        <f t="shared" ref="T21:U21" si="23">P21</f>
        <v>0</v>
      </c>
      <c r="U21" s="1">
        <f t="shared" si="23"/>
        <v>0</v>
      </c>
    </row>
    <row r="22" spans="1:22" ht="15.75" customHeight="1" x14ac:dyDescent="0.25">
      <c r="A22" s="1">
        <f t="shared" si="19"/>
        <v>0.73469364811691962</v>
      </c>
      <c r="B22" s="1">
        <f t="shared" si="20"/>
        <v>-0.30830167193986924</v>
      </c>
      <c r="C22" s="1">
        <f t="shared" si="21"/>
        <v>5.1521117618061217E-3</v>
      </c>
      <c r="D22" s="1">
        <f t="shared" si="22"/>
        <v>7.0125987546120873E-3</v>
      </c>
      <c r="P22" s="1">
        <f t="shared" ref="P22:P26" si="24">B5/1000</f>
        <v>0.9477000000000001</v>
      </c>
      <c r="Q22" s="1">
        <f t="shared" ref="Q22:R22" si="25">B20</f>
        <v>-0.11508852409011165</v>
      </c>
      <c r="R22" s="1">
        <f t="shared" si="25"/>
        <v>4.8842392072857097E-3</v>
      </c>
      <c r="T22" s="1">
        <f t="shared" ref="T22:U22" si="26">P22</f>
        <v>0.9477000000000001</v>
      </c>
      <c r="U22" s="1">
        <f t="shared" si="26"/>
        <v>-0.11508852409011165</v>
      </c>
      <c r="V22" s="1">
        <f t="shared" ref="V22:V26" si="27">C20</f>
        <v>4.8842392072857097E-3</v>
      </c>
    </row>
    <row r="23" spans="1:22" ht="15.75" customHeight="1" x14ac:dyDescent="0.25">
      <c r="A23" s="1">
        <f t="shared" si="19"/>
        <v>0.42282181000562113</v>
      </c>
      <c r="B23" s="1">
        <f t="shared" si="20"/>
        <v>-0.86080444162959913</v>
      </c>
      <c r="C23" s="1">
        <f t="shared" si="21"/>
        <v>6.1506864790798503E-3</v>
      </c>
      <c r="D23" s="1">
        <f t="shared" si="22"/>
        <v>1.4546757838717167E-2</v>
      </c>
      <c r="P23" s="1">
        <f t="shared" si="24"/>
        <v>1.8090999999999999</v>
      </c>
      <c r="Q23" s="1">
        <f t="shared" ref="Q23:R23" si="28">B21</f>
        <v>-0.22346681884901792</v>
      </c>
      <c r="R23" s="1">
        <f t="shared" si="28"/>
        <v>5.0298760594084183E-3</v>
      </c>
      <c r="T23" s="1">
        <f t="shared" ref="T23:U23" si="29">P23</f>
        <v>1.8090999999999999</v>
      </c>
      <c r="U23" s="1">
        <f t="shared" si="29"/>
        <v>-0.22346681884901792</v>
      </c>
      <c r="V23" s="1">
        <f t="shared" si="27"/>
        <v>5.0298760594084183E-3</v>
      </c>
    </row>
    <row r="24" spans="1:22" ht="15.75" customHeight="1" x14ac:dyDescent="0.25">
      <c r="A24" s="1">
        <f t="shared" si="19"/>
        <v>0.43110736368746488</v>
      </c>
      <c r="B24" s="1">
        <f t="shared" si="20"/>
        <v>-0.84139811621634697</v>
      </c>
      <c r="C24" s="1">
        <f t="shared" si="21"/>
        <v>6.1090040275018319E-3</v>
      </c>
      <c r="D24" s="1">
        <f t="shared" si="22"/>
        <v>1.417049334358067E-2</v>
      </c>
      <c r="P24" s="1">
        <f t="shared" si="24"/>
        <v>2.0146999999999999</v>
      </c>
      <c r="Q24" s="1">
        <f t="shared" ref="Q24:R24" si="30">B22</f>
        <v>-0.30830167193986924</v>
      </c>
      <c r="R24" s="1">
        <f t="shared" si="30"/>
        <v>5.1521117618061217E-3</v>
      </c>
      <c r="T24" s="1">
        <f t="shared" ref="T24:U24" si="31">P24</f>
        <v>2.0146999999999999</v>
      </c>
      <c r="U24" s="1">
        <f t="shared" si="31"/>
        <v>-0.30830167193986924</v>
      </c>
      <c r="V24" s="1">
        <f t="shared" si="27"/>
        <v>5.1521117618061217E-3</v>
      </c>
    </row>
    <row r="25" spans="1:22" ht="15.75" customHeight="1" x14ac:dyDescent="0.25">
      <c r="P25" s="1">
        <f t="shared" si="24"/>
        <v>4.4649999999999999</v>
      </c>
      <c r="Q25" s="1">
        <f t="shared" ref="Q25:R25" si="32">B23</f>
        <v>-0.86080444162959913</v>
      </c>
      <c r="R25" s="1">
        <f t="shared" si="32"/>
        <v>6.1506864790798503E-3</v>
      </c>
      <c r="T25" s="1">
        <f t="shared" ref="T25:U25" si="33">P25</f>
        <v>4.4649999999999999</v>
      </c>
      <c r="U25" s="1">
        <f t="shared" si="33"/>
        <v>-0.86080444162959913</v>
      </c>
      <c r="V25" s="1">
        <f t="shared" si="27"/>
        <v>6.1506864790798503E-3</v>
      </c>
    </row>
    <row r="26" spans="1:22" ht="15.75" customHeight="1" x14ac:dyDescent="0.25">
      <c r="A26" s="2" t="s">
        <v>88</v>
      </c>
      <c r="C26" s="2" t="s">
        <v>89</v>
      </c>
      <c r="D26" s="2" t="s">
        <v>90</v>
      </c>
      <c r="P26" s="1">
        <f t="shared" si="24"/>
        <v>7.0419999999999998</v>
      </c>
      <c r="Q26" s="1">
        <f t="shared" ref="Q26:R26" si="34">B24</f>
        <v>-0.84139811621634697</v>
      </c>
      <c r="R26" s="1">
        <f t="shared" si="34"/>
        <v>6.1090040275018319E-3</v>
      </c>
      <c r="T26" s="1">
        <f t="shared" ref="T26:U26" si="35">P26</f>
        <v>7.0419999999999998</v>
      </c>
      <c r="U26" s="1">
        <f t="shared" si="35"/>
        <v>-0.84139811621634697</v>
      </c>
      <c r="V26" s="1">
        <f t="shared" si="27"/>
        <v>6.1090040275018319E-3</v>
      </c>
    </row>
    <row r="27" spans="1:22" ht="15.75" customHeight="1" x14ac:dyDescent="0.25">
      <c r="A27" s="2">
        <v>0.105</v>
      </c>
      <c r="C27" s="2">
        <v>0.104</v>
      </c>
      <c r="D27" s="1">
        <f>(A27-C27)/A27 * 100</f>
        <v>0.95238095238095333</v>
      </c>
    </row>
    <row r="28" spans="1:22" ht="15.75" customHeight="1" x14ac:dyDescent="0.2"/>
    <row r="29" spans="1:22" ht="15.75" customHeight="1" x14ac:dyDescent="0.2"/>
    <row r="30" spans="1:22" ht="15.75" customHeight="1" x14ac:dyDescent="0.2"/>
    <row r="31" spans="1:22" ht="15.75" customHeight="1" x14ac:dyDescent="0.2"/>
    <row r="32" spans="1:22" ht="15.75" customHeight="1" x14ac:dyDescent="0.2"/>
    <row r="33" spans="1:9" ht="15.75" customHeight="1" x14ac:dyDescent="0.2"/>
    <row r="34" spans="1:9" ht="15.75" customHeight="1" x14ac:dyDescent="0.25">
      <c r="B34" s="2" t="s">
        <v>91</v>
      </c>
      <c r="C34" s="2" t="s">
        <v>92</v>
      </c>
      <c r="E34" s="2" t="s">
        <v>93</v>
      </c>
    </row>
    <row r="35" spans="1:9" ht="15.75" customHeight="1" x14ac:dyDescent="0.25">
      <c r="A35" s="2">
        <v>0</v>
      </c>
      <c r="B35" s="2">
        <v>0</v>
      </c>
      <c r="C35" s="2">
        <v>108962</v>
      </c>
      <c r="D35" s="2">
        <v>330</v>
      </c>
      <c r="E35" s="2">
        <v>88950</v>
      </c>
      <c r="F35" s="2">
        <v>599</v>
      </c>
      <c r="G35" s="2">
        <v>416.59</v>
      </c>
      <c r="H35" s="21">
        <f t="shared" ref="H35:H40" si="36">I35/(2*SQRT(2*E35*LN(2)))</f>
        <v>4.8625044052531576E-2</v>
      </c>
      <c r="I35" s="2">
        <v>34.15</v>
      </c>
    </row>
    <row r="36" spans="1:9" ht="15.75" customHeight="1" x14ac:dyDescent="0.25">
      <c r="A36" s="2" t="s">
        <v>94</v>
      </c>
      <c r="B36" s="2">
        <f t="shared" ref="B36:B40" si="37">B5/1000</f>
        <v>0.9477000000000001</v>
      </c>
      <c r="C36" s="22">
        <v>98705</v>
      </c>
      <c r="D36" s="2">
        <v>314</v>
      </c>
      <c r="E36" s="2">
        <v>79280</v>
      </c>
      <c r="F36" s="2">
        <v>584</v>
      </c>
      <c r="G36" s="2">
        <v>416.36</v>
      </c>
      <c r="H36" s="21">
        <f t="shared" si="36"/>
        <v>5.1535374226346055E-2</v>
      </c>
      <c r="I36" s="2">
        <v>34.17</v>
      </c>
    </row>
    <row r="37" spans="1:9" ht="15.75" customHeight="1" x14ac:dyDescent="0.25">
      <c r="A37" s="2" t="s">
        <v>95</v>
      </c>
      <c r="B37" s="2">
        <f t="shared" si="37"/>
        <v>1.8090999999999999</v>
      </c>
      <c r="C37" s="2">
        <v>91431</v>
      </c>
      <c r="D37" s="2">
        <v>302</v>
      </c>
      <c r="E37" s="2">
        <v>71137</v>
      </c>
      <c r="F37" s="2">
        <v>576</v>
      </c>
      <c r="G37" s="2">
        <v>416.15</v>
      </c>
      <c r="H37" s="21">
        <f t="shared" si="36"/>
        <v>5.3895583224409099E-2</v>
      </c>
      <c r="I37" s="2">
        <v>33.85</v>
      </c>
    </row>
    <row r="38" spans="1:9" ht="15.75" customHeight="1" x14ac:dyDescent="0.25">
      <c r="A38" s="2" t="s">
        <v>96</v>
      </c>
      <c r="B38" s="2">
        <f t="shared" si="37"/>
        <v>2.0146999999999999</v>
      </c>
      <c r="C38" s="2">
        <v>87997</v>
      </c>
      <c r="D38" s="2">
        <v>297</v>
      </c>
      <c r="E38" s="2">
        <v>65351</v>
      </c>
      <c r="F38" s="2">
        <v>584</v>
      </c>
      <c r="G38" s="2">
        <v>416.59</v>
      </c>
      <c r="H38" s="21">
        <f t="shared" si="36"/>
        <v>5.5267390325029878E-2</v>
      </c>
      <c r="I38" s="2">
        <v>33.270000000000003</v>
      </c>
    </row>
    <row r="39" spans="1:9" ht="15.75" customHeight="1" x14ac:dyDescent="0.25">
      <c r="A39" s="2" t="s">
        <v>97</v>
      </c>
      <c r="B39" s="2">
        <f t="shared" si="37"/>
        <v>4.4649999999999999</v>
      </c>
      <c r="C39" s="2">
        <v>64225</v>
      </c>
      <c r="D39" s="2">
        <v>253</v>
      </c>
      <c r="E39" s="2">
        <v>37610</v>
      </c>
      <c r="F39" s="2">
        <v>543</v>
      </c>
      <c r="G39" s="2">
        <v>416</v>
      </c>
      <c r="H39" s="21">
        <f t="shared" si="36"/>
        <v>6.3655457092793924E-2</v>
      </c>
      <c r="I39" s="2">
        <v>29.07</v>
      </c>
    </row>
    <row r="40" spans="1:9" ht="15.75" customHeight="1" x14ac:dyDescent="0.25">
      <c r="A40" s="2" t="s">
        <v>39</v>
      </c>
      <c r="B40" s="2">
        <f t="shared" si="37"/>
        <v>7.0419999999999998</v>
      </c>
      <c r="C40" s="2">
        <v>54661</v>
      </c>
      <c r="D40" s="2">
        <v>234</v>
      </c>
      <c r="E40" s="2">
        <v>38347</v>
      </c>
      <c r="F40" s="2">
        <v>487</v>
      </c>
      <c r="G40" s="2">
        <v>415.81</v>
      </c>
      <c r="H40" s="21">
        <f t="shared" si="36"/>
        <v>7.1671755670328519E-2</v>
      </c>
      <c r="I40" s="2">
        <v>33.049999999999997</v>
      </c>
    </row>
    <row r="41" spans="1:9" ht="15.75" customHeight="1" x14ac:dyDescent="0.2"/>
    <row r="42" spans="1:9" ht="15.75" customHeight="1" x14ac:dyDescent="0.2"/>
    <row r="43" spans="1:9" ht="15.75" customHeight="1" x14ac:dyDescent="0.25">
      <c r="A43" s="2" t="s">
        <v>98</v>
      </c>
      <c r="B43" s="2" t="s">
        <v>99</v>
      </c>
      <c r="C43" s="2" t="s">
        <v>91</v>
      </c>
      <c r="D43" s="2" t="s">
        <v>99</v>
      </c>
      <c r="E43" s="2" t="s">
        <v>100</v>
      </c>
      <c r="F43" s="2" t="s">
        <v>99</v>
      </c>
      <c r="G43" s="2" t="s">
        <v>101</v>
      </c>
    </row>
    <row r="44" spans="1:9" ht="15.75" customHeight="1" x14ac:dyDescent="0.25">
      <c r="A44" s="2" t="s">
        <v>94</v>
      </c>
      <c r="B44" s="2" t="s">
        <v>99</v>
      </c>
      <c r="C44" s="1">
        <f t="shared" ref="C44:C48" si="38">B36</f>
        <v>0.9477000000000001</v>
      </c>
      <c r="D44" s="2" t="s">
        <v>99</v>
      </c>
      <c r="E44" s="22">
        <f t="shared" ref="E44:E48" si="39">B12</f>
        <v>-9.8863593874878516E-2</v>
      </c>
      <c r="F44" s="2" t="s">
        <v>99</v>
      </c>
      <c r="G44" s="1">
        <f t="shared" ref="G44:G48" si="40">B20</f>
        <v>-0.11508852409011165</v>
      </c>
    </row>
    <row r="45" spans="1:9" ht="15.75" customHeight="1" x14ac:dyDescent="0.25">
      <c r="A45" s="2" t="s">
        <v>95</v>
      </c>
      <c r="B45" s="2" t="s">
        <v>99</v>
      </c>
      <c r="C45" s="1">
        <f t="shared" si="38"/>
        <v>1.8090999999999999</v>
      </c>
      <c r="D45" s="2" t="s">
        <v>99</v>
      </c>
      <c r="E45" s="22">
        <f t="shared" si="39"/>
        <v>-0.17541460814688248</v>
      </c>
      <c r="F45" s="2" t="s">
        <v>99</v>
      </c>
      <c r="G45" s="1">
        <f t="shared" si="40"/>
        <v>-0.22346681884901792</v>
      </c>
    </row>
    <row r="46" spans="1:9" ht="15.75" customHeight="1" x14ac:dyDescent="0.25">
      <c r="A46" s="2" t="s">
        <v>96</v>
      </c>
      <c r="B46" s="2" t="s">
        <v>99</v>
      </c>
      <c r="C46" s="1">
        <f t="shared" si="38"/>
        <v>2.0146999999999999</v>
      </c>
      <c r="D46" s="2" t="s">
        <v>99</v>
      </c>
      <c r="E46" s="22">
        <f t="shared" si="39"/>
        <v>-0.21369647460450239</v>
      </c>
      <c r="F46" s="2" t="s">
        <v>99</v>
      </c>
      <c r="G46" s="1">
        <f t="shared" si="40"/>
        <v>-0.30830167193986924</v>
      </c>
    </row>
    <row r="47" spans="1:9" ht="15.75" customHeight="1" x14ac:dyDescent="0.25">
      <c r="A47" s="2" t="s">
        <v>97</v>
      </c>
      <c r="B47" s="2" t="s">
        <v>99</v>
      </c>
      <c r="C47" s="1">
        <f t="shared" si="38"/>
        <v>4.4649999999999999</v>
      </c>
      <c r="D47" s="2" t="s">
        <v>99</v>
      </c>
      <c r="E47" s="22">
        <f t="shared" si="39"/>
        <v>-0.52860665459656242</v>
      </c>
      <c r="F47" s="2" t="s">
        <v>99</v>
      </c>
      <c r="G47" s="1">
        <f t="shared" si="40"/>
        <v>-0.86080444162959913</v>
      </c>
    </row>
    <row r="48" spans="1:9" ht="15.75" customHeight="1" x14ac:dyDescent="0.25">
      <c r="A48" s="2" t="s">
        <v>39</v>
      </c>
      <c r="B48" s="2" t="s">
        <v>99</v>
      </c>
      <c r="C48" s="1">
        <f t="shared" si="38"/>
        <v>7.0419999999999998</v>
      </c>
      <c r="D48" s="2" t="s">
        <v>99</v>
      </c>
      <c r="E48" s="22">
        <f t="shared" si="39"/>
        <v>-0.68984872234592376</v>
      </c>
      <c r="F48" s="2" t="s">
        <v>99</v>
      </c>
      <c r="G48" s="1">
        <f t="shared" si="40"/>
        <v>-0.84139811621634697</v>
      </c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Calibração</vt:lpstr>
      <vt:lpstr>Atenuação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</dc:creator>
  <cp:lastModifiedBy>duart</cp:lastModifiedBy>
  <dcterms:created xsi:type="dcterms:W3CDTF">2021-10-08T12:07:14Z</dcterms:created>
  <dcterms:modified xsi:type="dcterms:W3CDTF">2021-11-27T11:09:43Z</dcterms:modified>
</cp:coreProperties>
</file>