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édias hs" sheetId="1" r:id="rId4"/>
    <sheet state="visible" name="Solitões" sheetId="2" r:id="rId5"/>
    <sheet state="visible" name="Gráficos" sheetId="3" r:id="rId6"/>
  </sheets>
  <definedNames/>
  <calcPr/>
  <extLst>
    <ext uri="GoogleSheetsCustomDataVersion1">
      <go:sheetsCustomData xmlns:go="http://customooxmlschemas.google.com/" r:id="rId7" roundtripDataSignature="AMtx7miXwR68VJkV9RznrDdiegzURF75WA=="/>
    </ext>
  </extLst>
</workbook>
</file>

<file path=xl/sharedStrings.xml><?xml version="1.0" encoding="utf-8"?>
<sst xmlns="http://schemas.openxmlformats.org/spreadsheetml/2006/main" count="318" uniqueCount="101">
  <si>
    <t>h1</t>
  </si>
  <si>
    <t>Ensaio</t>
  </si>
  <si>
    <t>h (m)</t>
  </si>
  <si>
    <t>Erro (m)</t>
  </si>
  <si>
    <t>Média (m)</t>
  </si>
  <si>
    <t>Desvio face à média (m)</t>
  </si>
  <si>
    <t>h2</t>
  </si>
  <si>
    <t>Posições dos ensaios</t>
  </si>
  <si>
    <t>h3</t>
  </si>
  <si>
    <t>Ensaios</t>
  </si>
  <si>
    <t>Distância ao início da montagem (cm)</t>
  </si>
  <si>
    <t>(5/11)</t>
  </si>
  <si>
    <t>g (ms^-2)</t>
  </si>
  <si>
    <t>Valores teoricos</t>
  </si>
  <si>
    <t>Distância crono</t>
  </si>
  <si>
    <t>Valores experimentais</t>
  </si>
  <si>
    <t>Incerteza de t_crono</t>
  </si>
  <si>
    <t>Combinação</t>
  </si>
  <si>
    <t>S</t>
  </si>
  <si>
    <t>Erro</t>
  </si>
  <si>
    <t>v_teo (m/s)</t>
  </si>
  <si>
    <t>Erro (m/S)</t>
  </si>
  <si>
    <t>N_teo</t>
  </si>
  <si>
    <r>
      <rPr>
        <rFont val="Calibri"/>
        <color rgb="FFFF0000"/>
        <sz val="11.0"/>
      </rPr>
      <t>ε</t>
    </r>
    <r>
      <rPr>
        <rFont val="Calibri"/>
        <color rgb="FFFF0000"/>
        <sz val="11.0"/>
      </rPr>
      <t>_1</t>
    </r>
  </si>
  <si>
    <t>Desvio a 1 (OG)</t>
  </si>
  <si>
    <r>
      <rPr>
        <rFont val="Calibri"/>
        <color rgb="FFFF0000"/>
        <sz val="11.0"/>
      </rPr>
      <t>ε</t>
    </r>
    <r>
      <rPr>
        <rFont val="Calibri"/>
        <color rgb="FFFF0000"/>
        <sz val="11.0"/>
      </rPr>
      <t>_2</t>
    </r>
  </si>
  <si>
    <t>U</t>
  </si>
  <si>
    <t>d (m)</t>
  </si>
  <si>
    <t>N_olho</t>
  </si>
  <si>
    <t>Desvio</t>
  </si>
  <si>
    <t>N_soft</t>
  </si>
  <si>
    <t>t_crono (s)</t>
  </si>
  <si>
    <t>Erro (s)</t>
  </si>
  <si>
    <t>v_crono (m/s)</t>
  </si>
  <si>
    <t>Erro (m/s)</t>
  </si>
  <si>
    <t>t_soft (s)</t>
  </si>
  <si>
    <t>v_soft (m/s)</t>
  </si>
  <si>
    <t>Tempos Joana (ms)</t>
  </si>
  <si>
    <t>Tempos Juna (ms)</t>
  </si>
  <si>
    <t>Erro crono (s)</t>
  </si>
  <si>
    <t>h1, A1, B1</t>
  </si>
  <si>
    <t>h1 (m)</t>
  </si>
  <si>
    <t>h2 (m)</t>
  </si>
  <si>
    <t>h3 (m)</t>
  </si>
  <si>
    <t>h1, A2, B1</t>
  </si>
  <si>
    <t>Distância soft</t>
  </si>
  <si>
    <t>h1, A3, B1</t>
  </si>
  <si>
    <t>A1 (m)</t>
  </si>
  <si>
    <t>A2 (m)</t>
  </si>
  <si>
    <t>A3 (m)</t>
  </si>
  <si>
    <t>h1, A1, B2</t>
  </si>
  <si>
    <t>1º dia</t>
  </si>
  <si>
    <t>h1, A2, B2</t>
  </si>
  <si>
    <t>2º dia</t>
  </si>
  <si>
    <t>Média Joana (ms)</t>
  </si>
  <si>
    <t>Média Juna (ms)</t>
  </si>
  <si>
    <t>h1, A3, B2</t>
  </si>
  <si>
    <t>3º dia</t>
  </si>
  <si>
    <t>B1 (m)</t>
  </si>
  <si>
    <t>B2 (m)</t>
  </si>
  <si>
    <t>B3 (m)</t>
  </si>
  <si>
    <t>h1, A1, B3</t>
  </si>
  <si>
    <t>h1, A2, B3</t>
  </si>
  <si>
    <t>h1, A3, B3</t>
  </si>
  <si>
    <t>h2, A1, B1</t>
  </si>
  <si>
    <t>v0 (m/S)</t>
  </si>
  <si>
    <t>h2, A2, B1</t>
  </si>
  <si>
    <t>h2, A3, B1</t>
  </si>
  <si>
    <t>h2, A1, B2</t>
  </si>
  <si>
    <t>h2, A2, B2</t>
  </si>
  <si>
    <t>h2, A3, B2</t>
  </si>
  <si>
    <t>a (m)</t>
  </si>
  <si>
    <t>A1</t>
  </si>
  <si>
    <t>A2</t>
  </si>
  <si>
    <t>A3</t>
  </si>
  <si>
    <t>h2, A1, B3</t>
  </si>
  <si>
    <t>h2, A2, B3</t>
  </si>
  <si>
    <t>h2, A3, B3</t>
  </si>
  <si>
    <t>h3, A1, B1</t>
  </si>
  <si>
    <t>L (m)</t>
  </si>
  <si>
    <t>h3, A2, B1</t>
  </si>
  <si>
    <t>B1</t>
  </si>
  <si>
    <t>B2</t>
  </si>
  <si>
    <t>B3</t>
  </si>
  <si>
    <t>h3, A3, B1</t>
  </si>
  <si>
    <t>h3, A1, B2</t>
  </si>
  <si>
    <t>h3, A2, B2</t>
  </si>
  <si>
    <t>h3, A3, B2</t>
  </si>
  <si>
    <t>h3, A1, B3</t>
  </si>
  <si>
    <t>h3, A2, B3</t>
  </si>
  <si>
    <t>h3, A3, B3</t>
  </si>
  <si>
    <t>ε_1</t>
  </si>
  <si>
    <t>ε_2</t>
  </si>
  <si>
    <t>Gráficos</t>
  </si>
  <si>
    <t>h1 = 2 cm</t>
  </si>
  <si>
    <t>h2 = 5 cm</t>
  </si>
  <si>
    <t>h3 = 6 cm</t>
  </si>
  <si>
    <t>Variação Da Velocidade Com A</t>
  </si>
  <si>
    <t>A</t>
  </si>
  <si>
    <t>B</t>
  </si>
  <si>
    <t>v_teorica(ms)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</si>
</sst>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000"/>
    <numFmt numFmtId="166" formatCode="0.0"/>
    <numFmt numFmtId="167" formatCode="0.0%"/>
  </numFmts>
  <fonts count="25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u/>
      <sz val="11.0"/>
      <color theme="1"/>
      <name val="Calibri"/>
    </font>
    <font>
      <b/>
      <sz val="11.0"/>
      <color rgb="FFFF7C80"/>
      <name val="Calibri"/>
    </font>
    <font>
      <b/>
      <sz val="11.0"/>
      <color rgb="FFFF0000"/>
      <name val="Calibri"/>
    </font>
    <font>
      <sz val="11.0"/>
      <color rgb="FFFF0000"/>
      <name val="Calibri"/>
    </font>
    <font>
      <b/>
      <sz val="11.0"/>
      <color rgb="FF00B050"/>
      <name val="Calibri"/>
    </font>
    <font>
      <sz val="11.0"/>
      <color rgb="FF00B050"/>
      <name val="Calibri"/>
    </font>
    <font>
      <b/>
      <sz val="11.0"/>
      <color rgb="FF0070C0"/>
      <name val="Calibri"/>
    </font>
    <font>
      <b/>
      <sz val="11.0"/>
      <color rgb="FFBF9000"/>
      <name val="Calibri"/>
    </font>
    <font>
      <b/>
      <sz val="11.0"/>
      <color rgb="FFFF5050"/>
      <name val="Calibri"/>
    </font>
    <font>
      <b/>
      <sz val="11.0"/>
      <color theme="1"/>
    </font>
    <font>
      <sz val="11.0"/>
      <color theme="1"/>
    </font>
    <font>
      <b/>
      <sz val="11.0"/>
      <color rgb="FFFF0000"/>
    </font>
    <font>
      <sz val="11.0"/>
      <color rgb="FFFF0000"/>
    </font>
    <font>
      <b/>
      <sz val="11.0"/>
      <color rgb="FF00B050"/>
    </font>
    <font>
      <sz val="11.0"/>
      <color rgb="FF00B050"/>
    </font>
    <font>
      <b/>
      <sz val="11.0"/>
      <color rgb="FF0070C0"/>
    </font>
    <font>
      <b/>
      <sz val="11.0"/>
      <color rgb="FFBF9000"/>
    </font>
    <font>
      <b/>
      <sz val="11.0"/>
      <color rgb="FFFF5050"/>
    </font>
    <font>
      <color theme="0"/>
    </font>
    <font>
      <color theme="1"/>
    </font>
    <font>
      <color theme="1"/>
      <name val="Calibri"/>
    </font>
    <font/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7C80"/>
        <bgColor rgb="FFFF7C80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D8D8D8"/>
        <bgColor rgb="FFD8D8D8"/>
      </patternFill>
    </fill>
    <fill>
      <patternFill patternType="solid">
        <fgColor rgb="FFB4C6E7"/>
        <bgColor rgb="FFB4C6E7"/>
      </patternFill>
    </fill>
    <fill>
      <patternFill patternType="solid">
        <fgColor rgb="FF00B0F0"/>
        <bgColor rgb="FF00B0F0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FF5050"/>
        <bgColor rgb="FFFF5050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1" fillId="3" fontId="2" numFmtId="0" xfId="0" applyAlignment="1" applyBorder="1" applyFill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7" fontId="5" numFmtId="0" xfId="0" applyAlignment="1" applyBorder="1" applyFill="1" applyFont="1">
      <alignment horizontal="center" vertical="center"/>
    </xf>
    <xf borderId="1" fillId="7" fontId="6" numFmtId="0" xfId="0" applyAlignment="1" applyBorder="1" applyFont="1">
      <alignment horizontal="center" vertical="center"/>
    </xf>
    <xf borderId="1" fillId="7" fontId="7" numFmtId="0" xfId="0" applyAlignment="1" applyBorder="1" applyFont="1">
      <alignment horizontal="center" vertical="center"/>
    </xf>
    <xf borderId="1" fillId="7" fontId="8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center" vertical="center"/>
    </xf>
    <xf borderId="1" fillId="8" fontId="10" numFmtId="0" xfId="0" applyAlignment="1" applyBorder="1" applyFill="1" applyFont="1">
      <alignment horizontal="center" vertical="center"/>
    </xf>
    <xf borderId="1" fillId="8" fontId="1" numFmtId="0" xfId="0" applyAlignment="1" applyBorder="1" applyFont="1">
      <alignment horizontal="center" vertical="center"/>
    </xf>
    <xf borderId="1" fillId="8" fontId="5" numFmtId="0" xfId="0" applyAlignment="1" applyBorder="1" applyFont="1">
      <alignment horizontal="center" vertical="center"/>
    </xf>
    <xf borderId="1" fillId="8" fontId="11" numFmtId="0" xfId="0" applyAlignment="1" applyBorder="1" applyFont="1">
      <alignment horizontal="center" vertical="center"/>
    </xf>
    <xf borderId="1" fillId="8" fontId="9" numFmtId="0" xfId="0" applyAlignment="1" applyBorder="1" applyFont="1">
      <alignment horizontal="center" vertical="center"/>
    </xf>
    <xf borderId="1" fillId="8" fontId="7" numFmtId="0" xfId="0" applyAlignment="1" applyBorder="1" applyFon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9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1" fillId="9" fontId="2" numFmtId="0" xfId="0" applyAlignment="1" applyBorder="1" applyFill="1" applyFont="1">
      <alignment horizontal="center" vertical="center"/>
    </xf>
    <xf borderId="0" fillId="0" fontId="7" numFmtId="2" xfId="0" applyAlignment="1" applyFont="1" applyNumberFormat="1">
      <alignment horizontal="center" vertical="center"/>
    </xf>
    <xf borderId="0" fillId="0" fontId="1" numFmtId="167" xfId="0" applyAlignment="1" applyFont="1" applyNumberFormat="1">
      <alignment horizontal="center" vertical="center"/>
    </xf>
    <xf borderId="1" fillId="2" fontId="12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1" fillId="5" fontId="12" numFmtId="0" xfId="0" applyAlignment="1" applyBorder="1" applyFont="1">
      <alignment horizontal="center" vertical="center"/>
    </xf>
    <xf borderId="1" fillId="6" fontId="13" numFmtId="0" xfId="0" applyAlignment="1" applyBorder="1" applyFont="1">
      <alignment horizontal="center" vertical="center"/>
    </xf>
    <xf borderId="1" fillId="7" fontId="14" numFmtId="0" xfId="0" applyAlignment="1" applyBorder="1" applyFont="1">
      <alignment horizontal="center" vertical="center"/>
    </xf>
    <xf borderId="1" fillId="7" fontId="15" numFmtId="0" xfId="0" applyAlignment="1" applyBorder="1" applyFont="1">
      <alignment horizontal="center" vertical="center"/>
    </xf>
    <xf borderId="1" fillId="7" fontId="16" numFmtId="0" xfId="0" applyAlignment="1" applyBorder="1" applyFont="1">
      <alignment horizontal="center" vertical="center"/>
    </xf>
    <xf borderId="1" fillId="7" fontId="17" numFmtId="0" xfId="0" applyAlignment="1" applyBorder="1" applyFont="1">
      <alignment horizontal="center" vertical="center"/>
    </xf>
    <xf borderId="1" fillId="7" fontId="18" numFmtId="0" xfId="0" applyAlignment="1" applyBorder="1" applyFont="1">
      <alignment horizontal="center" vertical="center"/>
    </xf>
    <xf borderId="1" fillId="7" fontId="13" numFmtId="0" xfId="0" applyAlignment="1" applyBorder="1" applyFont="1">
      <alignment horizontal="center" vertical="center"/>
    </xf>
    <xf borderId="1" fillId="7" fontId="12" numFmtId="0" xfId="0" applyAlignment="1" applyBorder="1" applyFont="1">
      <alignment horizontal="center" vertical="center"/>
    </xf>
    <xf borderId="1" fillId="8" fontId="19" numFmtId="0" xfId="0" applyAlignment="1" applyBorder="1" applyFont="1">
      <alignment horizontal="center" vertical="center"/>
    </xf>
    <xf borderId="1" fillId="8" fontId="13" numFmtId="0" xfId="0" applyAlignment="1" applyBorder="1" applyFont="1">
      <alignment horizontal="center" vertical="center"/>
    </xf>
    <xf borderId="1" fillId="8" fontId="14" numFmtId="0" xfId="0" applyAlignment="1" applyBorder="1" applyFont="1">
      <alignment horizontal="center" vertical="center"/>
    </xf>
    <xf borderId="1" fillId="8" fontId="20" numFmtId="0" xfId="0" applyAlignment="1" applyBorder="1" applyFont="1">
      <alignment horizontal="center" vertical="center"/>
    </xf>
    <xf borderId="1" fillId="8" fontId="18" numFmtId="0" xfId="0" applyAlignment="1" applyBorder="1" applyFont="1">
      <alignment horizontal="center" vertical="center"/>
    </xf>
    <xf borderId="1" fillId="8" fontId="16" numFmtId="0" xfId="0" applyAlignment="1" applyBorder="1" applyFont="1">
      <alignment horizontal="center" vertical="center"/>
    </xf>
    <xf borderId="0" fillId="0" fontId="13" numFmtId="164" xfId="0" applyAlignment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3" numFmtId="166" xfId="0" applyAlignment="1" applyFont="1" applyNumberFormat="1">
      <alignment horizontal="center" vertical="center"/>
    </xf>
    <xf borderId="0" fillId="0" fontId="13" numFmtId="2" xfId="0" applyAlignment="1" applyFont="1" applyNumberFormat="1">
      <alignment horizontal="center" vertical="center"/>
    </xf>
    <xf borderId="0" fillId="0" fontId="13" numFmtId="9" xfId="0" applyAlignment="1" applyFont="1" applyNumberFormat="1">
      <alignment horizontal="center" vertical="center"/>
    </xf>
    <xf borderId="1" fillId="9" fontId="12" numFmtId="0" xfId="0" applyAlignment="1" applyBorder="1" applyFont="1">
      <alignment horizontal="center" vertical="center"/>
    </xf>
    <xf borderId="0" fillId="0" fontId="13" numFmtId="165" xfId="0" applyAlignment="1" applyFont="1" applyNumberFormat="1">
      <alignment horizontal="center" vertical="center"/>
    </xf>
    <xf borderId="0" fillId="0" fontId="13" numFmtId="167" xfId="0" applyAlignment="1" applyFont="1" applyNumberFormat="1">
      <alignment horizontal="center" vertical="center"/>
    </xf>
    <xf borderId="0" fillId="10" fontId="21" numFmtId="0" xfId="0" applyAlignment="1" applyFill="1" applyFont="1">
      <alignment readingOrder="0"/>
    </xf>
    <xf borderId="0" fillId="11" fontId="22" numFmtId="0" xfId="0" applyAlignment="1" applyFill="1" applyFont="1">
      <alignment readingOrder="0"/>
    </xf>
    <xf borderId="0" fillId="12" fontId="22" numFmtId="0" xfId="0" applyAlignment="1" applyFill="1" applyFont="1">
      <alignment readingOrder="0"/>
    </xf>
    <xf borderId="0" fillId="13" fontId="22" numFmtId="0" xfId="0" applyAlignment="1" applyFill="1" applyFont="1">
      <alignment readingOrder="0"/>
    </xf>
    <xf borderId="0" fillId="14" fontId="21" numFmtId="0" xfId="0" applyAlignment="1" applyFill="1" applyFont="1">
      <alignment readingOrder="0"/>
    </xf>
    <xf borderId="0" fillId="14" fontId="22" numFmtId="0" xfId="0" applyFont="1"/>
    <xf borderId="0" fillId="11" fontId="23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3" numFmtId="164" xfId="0" applyFont="1" applyNumberFormat="1"/>
    <xf borderId="0" fillId="0" fontId="23" numFmtId="2" xfId="0" applyFont="1" applyNumberFormat="1"/>
    <xf borderId="0" fillId="0" fontId="2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4" width="7.63"/>
    <col customWidth="1" min="5" max="5" width="10.13"/>
    <col customWidth="1" min="6" max="6" width="21.13"/>
    <col customWidth="1" min="7" max="8" width="7.63"/>
    <col customWidth="1" min="9" max="9" width="16.25"/>
    <col customWidth="1" min="10" max="10" width="31.63"/>
    <col customWidth="1" min="11" max="26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>
      <c r="A6" s="1"/>
      <c r="B6" s="2" t="s">
        <v>0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3</v>
      </c>
      <c r="H7" s="1"/>
      <c r="I7" s="1"/>
      <c r="J7" s="1"/>
      <c r="K7" s="1"/>
      <c r="L7" s="1"/>
    </row>
    <row r="8">
      <c r="A8" s="1"/>
      <c r="B8" s="1">
        <v>1.0</v>
      </c>
      <c r="C8" s="1">
        <v>0.015</v>
      </c>
      <c r="D8" s="1">
        <v>0.001</v>
      </c>
      <c r="E8" s="4">
        <f>AVERAGE(C8:C10)</f>
        <v>0.01866666667</v>
      </c>
      <c r="F8" s="4">
        <f t="shared" ref="F8:F10" si="1">ABS(C8-$E$8)</f>
        <v>0.003666666667</v>
      </c>
      <c r="G8" s="4">
        <f>MAX(F8:F10,AVERAGE(D8:D10))</f>
        <v>0.003666666667</v>
      </c>
      <c r="H8" s="1"/>
      <c r="I8" s="1"/>
      <c r="J8" s="1"/>
      <c r="K8" s="1"/>
      <c r="L8" s="1"/>
    </row>
    <row r="9">
      <c r="A9" s="1"/>
      <c r="B9" s="1">
        <v>2.0</v>
      </c>
      <c r="C9" s="4">
        <v>0.02</v>
      </c>
      <c r="D9" s="1">
        <v>0.001</v>
      </c>
      <c r="E9" s="1"/>
      <c r="F9" s="4">
        <f t="shared" si="1"/>
        <v>0.001333333333</v>
      </c>
      <c r="G9" s="1"/>
      <c r="H9" s="1"/>
      <c r="I9" s="1"/>
      <c r="J9" s="1"/>
      <c r="K9" s="1"/>
      <c r="L9" s="1"/>
    </row>
    <row r="10">
      <c r="A10" s="1"/>
      <c r="B10" s="1">
        <v>3.0</v>
      </c>
      <c r="C10" s="1">
        <v>0.021</v>
      </c>
      <c r="D10" s="1">
        <v>0.001</v>
      </c>
      <c r="E10" s="1"/>
      <c r="F10" s="4">
        <f t="shared" si="1"/>
        <v>0.002333333333</v>
      </c>
      <c r="G10" s="1"/>
      <c r="H10" s="1"/>
      <c r="I10" s="1"/>
      <c r="J10" s="1"/>
      <c r="K10" s="1"/>
      <c r="L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>
      <c r="A12" s="1"/>
      <c r="B12" s="2" t="s">
        <v>6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>
      <c r="A13" s="1"/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3</v>
      </c>
      <c r="H13" s="1"/>
      <c r="I13" s="1"/>
      <c r="J13" s="1"/>
      <c r="K13" s="1"/>
      <c r="L13" s="1"/>
    </row>
    <row r="14">
      <c r="A14" s="1"/>
      <c r="B14" s="1">
        <v>1.0</v>
      </c>
      <c r="C14" s="4">
        <v>0.05</v>
      </c>
      <c r="D14" s="1">
        <v>0.001</v>
      </c>
      <c r="E14" s="4">
        <f>AVERAGE(C14:C16)</f>
        <v>0.05216666667</v>
      </c>
      <c r="F14" s="4">
        <f t="shared" ref="F14:F16" si="2">ABS(C14-$E$14)</f>
        <v>0.002166666667</v>
      </c>
      <c r="G14" s="4">
        <f>MAX(F14:F16,AVERAGE(D14:D16))</f>
        <v>0.002166666667</v>
      </c>
      <c r="H14" s="1"/>
      <c r="I14" s="1"/>
      <c r="J14" s="1"/>
      <c r="K14" s="1"/>
      <c r="L14" s="1"/>
    </row>
    <row r="15">
      <c r="A15" s="1"/>
      <c r="B15" s="1">
        <v>2.0</v>
      </c>
      <c r="C15" s="4">
        <v>0.054</v>
      </c>
      <c r="D15" s="1">
        <v>0.001</v>
      </c>
      <c r="E15" s="1"/>
      <c r="F15" s="4">
        <f t="shared" si="2"/>
        <v>0.001833333333</v>
      </c>
      <c r="G15" s="1"/>
      <c r="H15" s="1"/>
      <c r="I15" s="1"/>
      <c r="J15" s="1"/>
      <c r="K15" s="1"/>
      <c r="L15" s="1"/>
    </row>
    <row r="16">
      <c r="A16" s="1"/>
      <c r="B16" s="1">
        <v>3.0</v>
      </c>
      <c r="C16" s="5">
        <v>0.0525</v>
      </c>
      <c r="D16" s="1">
        <v>0.001</v>
      </c>
      <c r="E16" s="1"/>
      <c r="F16" s="4">
        <f t="shared" si="2"/>
        <v>0.0003333333333</v>
      </c>
      <c r="G16" s="1"/>
      <c r="H16" s="1"/>
      <c r="I16" s="1"/>
      <c r="J16" s="1"/>
      <c r="K16" s="1"/>
      <c r="L16" s="1"/>
    </row>
    <row r="17">
      <c r="A17" s="1"/>
      <c r="B17" s="1"/>
      <c r="C17" s="1"/>
      <c r="D17" s="1"/>
      <c r="E17" s="1"/>
      <c r="F17" s="1"/>
      <c r="G17" s="1"/>
      <c r="H17" s="1"/>
      <c r="I17" s="6" t="s">
        <v>7</v>
      </c>
      <c r="J17" s="1"/>
      <c r="K17" s="1"/>
      <c r="L17" s="1"/>
    </row>
    <row r="18">
      <c r="A18" s="1"/>
      <c r="B18" s="2" t="s">
        <v>8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>
      <c r="A19" s="1"/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3</v>
      </c>
      <c r="H19" s="1"/>
      <c r="I19" s="7" t="s">
        <v>9</v>
      </c>
      <c r="J19" s="8" t="s">
        <v>10</v>
      </c>
      <c r="K19" s="1"/>
      <c r="L19" s="1"/>
    </row>
    <row r="20">
      <c r="A20" s="1"/>
      <c r="B20" s="1">
        <v>1.0</v>
      </c>
      <c r="C20" s="1">
        <v>0.0605</v>
      </c>
      <c r="D20" s="1">
        <v>0.001</v>
      </c>
      <c r="E20" s="4">
        <f>AVERAGE(C20:C22)</f>
        <v>0.06266666667</v>
      </c>
      <c r="F20" s="4">
        <f t="shared" ref="F20:F22" si="3">ABS(C20-$E$20)</f>
        <v>0.002166666667</v>
      </c>
      <c r="G20" s="4">
        <f>MAX(F20:F22,AVERAGE(D20:D22))</f>
        <v>0.002166666667</v>
      </c>
      <c r="H20" s="1"/>
      <c r="I20" s="1">
        <v>1.0</v>
      </c>
      <c r="J20" s="1">
        <v>201.5</v>
      </c>
      <c r="K20" s="1"/>
      <c r="L20" s="1"/>
    </row>
    <row r="21" ht="15.75" customHeight="1">
      <c r="A21" s="1"/>
      <c r="B21" s="1">
        <v>2.0</v>
      </c>
      <c r="C21" s="1">
        <v>0.064</v>
      </c>
      <c r="D21" s="1">
        <v>0.001</v>
      </c>
      <c r="E21" s="1"/>
      <c r="F21" s="4">
        <f t="shared" si="3"/>
        <v>0.001333333333</v>
      </c>
      <c r="G21" s="1"/>
      <c r="H21" s="1"/>
      <c r="I21" s="1">
        <v>2.0</v>
      </c>
      <c r="J21" s="9">
        <v>401.0</v>
      </c>
      <c r="K21" s="1"/>
      <c r="L21" s="1"/>
    </row>
    <row r="22" ht="15.75" customHeight="1">
      <c r="A22" s="1"/>
      <c r="B22" s="1">
        <v>3.0</v>
      </c>
      <c r="C22" s="1">
        <v>0.0635</v>
      </c>
      <c r="D22" s="1">
        <v>0.001</v>
      </c>
      <c r="E22" s="1"/>
      <c r="F22" s="4">
        <f t="shared" si="3"/>
        <v>0.0008333333333</v>
      </c>
      <c r="G22" s="1"/>
      <c r="H22" s="1"/>
      <c r="I22" s="1">
        <v>3.0</v>
      </c>
      <c r="J22" s="9">
        <v>601.0</v>
      </c>
      <c r="K22" s="1"/>
      <c r="L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5.75" customHeight="1">
      <c r="A24" s="1"/>
      <c r="B24" s="2" t="s">
        <v>6</v>
      </c>
      <c r="C24" s="1" t="s">
        <v>11</v>
      </c>
      <c r="D24" s="1"/>
      <c r="E24" s="1"/>
      <c r="F24" s="1"/>
      <c r="G24" s="1"/>
      <c r="H24" s="1"/>
      <c r="I24" s="1"/>
      <c r="J24" s="1"/>
      <c r="K24" s="1"/>
      <c r="L24" s="1"/>
    </row>
    <row r="25" ht="15.75" customHeight="1">
      <c r="A25" s="1"/>
      <c r="B25" s="3" t="s">
        <v>1</v>
      </c>
      <c r="C25" s="3" t="s">
        <v>2</v>
      </c>
      <c r="D25" s="3" t="s">
        <v>3</v>
      </c>
      <c r="E25" s="3" t="s">
        <v>4</v>
      </c>
      <c r="F25" s="3" t="s">
        <v>5</v>
      </c>
      <c r="G25" s="3" t="s">
        <v>3</v>
      </c>
      <c r="H25" s="1"/>
      <c r="I25" s="1"/>
      <c r="J25" s="1"/>
      <c r="K25" s="1"/>
      <c r="L25" s="1"/>
    </row>
    <row r="26" ht="15.75" customHeight="1">
      <c r="A26" s="1"/>
      <c r="B26" s="1">
        <v>1.0</v>
      </c>
      <c r="C26" s="4">
        <v>0.05</v>
      </c>
      <c r="D26" s="1">
        <v>0.001</v>
      </c>
      <c r="E26" s="4">
        <f>AVERAGE(C26:C28)</f>
        <v>0.05233333333</v>
      </c>
      <c r="F26" s="4">
        <f t="shared" ref="F26:F28" si="4">ABS(C26-$E$14)</f>
        <v>0.002166666667</v>
      </c>
      <c r="G26" s="4">
        <f>MAX(F26:F28,AVERAGE(D26:D28))</f>
        <v>0.002166666667</v>
      </c>
      <c r="H26" s="1"/>
      <c r="I26" s="1"/>
      <c r="J26" s="1"/>
      <c r="K26" s="1"/>
      <c r="L26" s="1"/>
    </row>
    <row r="27" ht="15.75" customHeight="1">
      <c r="B27" s="1">
        <v>2.0</v>
      </c>
      <c r="C27" s="4">
        <v>0.054</v>
      </c>
      <c r="D27" s="1">
        <v>0.001</v>
      </c>
      <c r="E27" s="1"/>
      <c r="F27" s="4">
        <f t="shared" si="4"/>
        <v>0.001833333333</v>
      </c>
      <c r="G27" s="1"/>
    </row>
    <row r="28" ht="15.75" customHeight="1">
      <c r="B28" s="1">
        <v>3.0</v>
      </c>
      <c r="C28" s="5">
        <v>0.053</v>
      </c>
      <c r="D28" s="1">
        <v>0.001</v>
      </c>
      <c r="E28" s="1"/>
      <c r="F28" s="4">
        <f t="shared" si="4"/>
        <v>0.0008333333333</v>
      </c>
      <c r="G28" s="1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8.75"/>
    <col customWidth="1" min="3" max="3" width="7.63"/>
    <col customWidth="1" min="4" max="4" width="9.13"/>
    <col customWidth="1" min="5" max="5" width="7.63"/>
    <col customWidth="1" min="6" max="6" width="9.63"/>
    <col customWidth="1" min="7" max="7" width="15.5"/>
    <col customWidth="1" min="8" max="8" width="18.63"/>
    <col customWidth="1" min="9" max="9" width="12.13"/>
    <col customWidth="1" min="10" max="10" width="8.0"/>
    <col customWidth="1" min="11" max="11" width="15.13"/>
    <col customWidth="1" min="12" max="12" width="11.0"/>
    <col customWidth="1" min="13" max="13" width="8.13"/>
    <col customWidth="1" min="14" max="14" width="7.0"/>
    <col customWidth="1" min="15" max="15" width="5.63"/>
    <col customWidth="1" min="16" max="16" width="16.75"/>
    <col customWidth="1" min="17" max="17" width="8.13"/>
    <col customWidth="1" min="18" max="18" width="8.38"/>
    <col customWidth="1" min="19" max="19" width="14.88"/>
    <col customWidth="1" min="20" max="20" width="8.25"/>
    <col customWidth="1" min="21" max="21" width="6.63"/>
    <col customWidth="1" min="22" max="22" width="16.88"/>
    <col customWidth="1" min="23" max="23" width="7.63"/>
    <col customWidth="1" min="24" max="24" width="16.5"/>
    <col customWidth="1" min="25" max="26" width="8.5"/>
    <col customWidth="1" min="27" max="27" width="23.0"/>
    <col customWidth="1" min="28" max="28" width="12.13"/>
    <col customWidth="1" min="29" max="29" width="8.75"/>
    <col customWidth="1" min="30" max="30" width="7.63"/>
    <col customWidth="1" min="31" max="31" width="12.13"/>
    <col customWidth="1" min="32" max="32" width="13.38"/>
    <col customWidth="1" min="33" max="33" width="11.13"/>
    <col customWidth="1" min="34" max="34" width="14.38"/>
    <col customWidth="1" min="35" max="35" width="9.88"/>
    <col customWidth="1" min="36" max="36" width="8.38"/>
    <col customWidth="1" min="37" max="37" width="10.5"/>
    <col customWidth="1" min="38" max="38" width="8.38"/>
    <col customWidth="1" min="39" max="39" width="14.13"/>
    <col customWidth="1" min="40" max="40" width="9.0"/>
    <col customWidth="1" min="41" max="41" width="7.63"/>
    <col customWidth="1" min="42" max="42" width="11.5"/>
    <col customWidth="1" min="43" max="43" width="22.25"/>
    <col customWidth="1" min="44" max="44" width="19.63"/>
    <col customWidth="1" min="45" max="45" width="14.63"/>
    <col customWidth="1" min="46" max="46" width="13.25"/>
    <col customWidth="1" min="47" max="51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>
      <c r="A2" s="1"/>
      <c r="B2" s="1"/>
      <c r="C2" s="1"/>
      <c r="D2" s="1"/>
      <c r="E2" s="1"/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>
      <c r="A3" s="10" t="s">
        <v>12</v>
      </c>
      <c r="B3" s="1"/>
      <c r="C3" s="1"/>
      <c r="D3" s="1"/>
      <c r="E3" s="1"/>
      <c r="F3" s="1"/>
      <c r="G3" s="1"/>
      <c r="H3" s="11" t="s">
        <v>13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2" t="s">
        <v>14</v>
      </c>
      <c r="Y3" s="1"/>
      <c r="Z3" s="1"/>
      <c r="AA3" s="11" t="s">
        <v>15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7" t="s">
        <v>16</v>
      </c>
      <c r="AR3" s="1"/>
      <c r="AS3" s="1"/>
      <c r="AT3" s="1"/>
      <c r="AU3" s="1"/>
      <c r="AV3" s="1"/>
      <c r="AW3" s="1"/>
      <c r="AX3" s="1"/>
      <c r="AY3" s="1"/>
    </row>
    <row r="4">
      <c r="A4" s="1">
        <v>9.8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3"/>
      <c r="AR4" s="1"/>
      <c r="AS4" s="1"/>
      <c r="AT4" s="14"/>
      <c r="AU4" s="1"/>
      <c r="AV4" s="1"/>
      <c r="AW4" s="1"/>
      <c r="AX4" s="1"/>
      <c r="AY4" s="1"/>
    </row>
    <row r="5">
      <c r="A5" s="1"/>
      <c r="B5" s="1"/>
      <c r="C5" s="1"/>
      <c r="D5" s="1"/>
      <c r="E5" s="1"/>
      <c r="F5" s="1"/>
      <c r="G5" s="1"/>
      <c r="H5" s="15" t="s">
        <v>17</v>
      </c>
      <c r="I5" s="16" t="s">
        <v>18</v>
      </c>
      <c r="J5" s="17" t="s">
        <v>19</v>
      </c>
      <c r="K5" s="18" t="s">
        <v>20</v>
      </c>
      <c r="L5" s="19" t="s">
        <v>21</v>
      </c>
      <c r="M5" s="20" t="s">
        <v>22</v>
      </c>
      <c r="N5" s="17" t="s">
        <v>23</v>
      </c>
      <c r="O5" s="21" t="s">
        <v>19</v>
      </c>
      <c r="P5" s="21" t="s">
        <v>24</v>
      </c>
      <c r="Q5" s="17" t="s">
        <v>25</v>
      </c>
      <c r="R5" s="21" t="s">
        <v>19</v>
      </c>
      <c r="S5" s="21" t="s">
        <v>24</v>
      </c>
      <c r="T5" s="17" t="s">
        <v>26</v>
      </c>
      <c r="U5" s="21" t="s">
        <v>19</v>
      </c>
      <c r="V5" s="21" t="s">
        <v>24</v>
      </c>
      <c r="W5" s="1"/>
      <c r="X5" s="22" t="s">
        <v>27</v>
      </c>
      <c r="Y5" s="21" t="s">
        <v>3</v>
      </c>
      <c r="AA5" s="15" t="s">
        <v>17</v>
      </c>
      <c r="AB5" s="23" t="s">
        <v>28</v>
      </c>
      <c r="AC5" s="24" t="s">
        <v>29</v>
      </c>
      <c r="AD5" s="25" t="s">
        <v>30</v>
      </c>
      <c r="AE5" s="24" t="s">
        <v>29</v>
      </c>
      <c r="AF5" s="26" t="s">
        <v>31</v>
      </c>
      <c r="AG5" s="24" t="s">
        <v>32</v>
      </c>
      <c r="AH5" s="27" t="s">
        <v>33</v>
      </c>
      <c r="AI5" s="24" t="s">
        <v>34</v>
      </c>
      <c r="AJ5" s="24" t="s">
        <v>29</v>
      </c>
      <c r="AK5" s="25" t="s">
        <v>35</v>
      </c>
      <c r="AL5" s="24" t="s">
        <v>32</v>
      </c>
      <c r="AM5" s="28" t="s">
        <v>36</v>
      </c>
      <c r="AN5" s="24" t="s">
        <v>34</v>
      </c>
      <c r="AO5" s="24" t="s">
        <v>29</v>
      </c>
      <c r="AP5" s="1"/>
      <c r="AQ5" s="3" t="s">
        <v>37</v>
      </c>
      <c r="AR5" s="3" t="s">
        <v>38</v>
      </c>
      <c r="AS5" s="14" t="s">
        <v>39</v>
      </c>
      <c r="AT5" s="14"/>
      <c r="AU5" s="1"/>
      <c r="AV5" s="1"/>
      <c r="AW5" s="1"/>
      <c r="AX5" s="1"/>
      <c r="AY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4">
        <v>3.1</v>
      </c>
      <c r="Y6" s="1">
        <v>0.001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>
        <v>348.0</v>
      </c>
      <c r="AR6" s="1">
        <v>261.0</v>
      </c>
      <c r="AS6" s="29">
        <f>(AQ13+AR13)*10^(-3)</f>
        <v>0.6472</v>
      </c>
      <c r="AT6" s="1"/>
      <c r="AU6" s="1"/>
      <c r="AV6" s="1"/>
      <c r="AW6" s="1"/>
      <c r="AX6" s="1"/>
      <c r="AY6" s="1"/>
    </row>
    <row r="7">
      <c r="A7" s="1"/>
      <c r="B7" s="1"/>
      <c r="C7" s="1"/>
      <c r="D7" s="1"/>
      <c r="E7" s="1"/>
      <c r="F7" s="1"/>
      <c r="G7" s="1"/>
      <c r="H7" s="3" t="s">
        <v>40</v>
      </c>
      <c r="I7" s="9">
        <f>SQRT((3*$A$28)/(2*$A$9))*($A$34/$A$9)</f>
        <v>9.604515611</v>
      </c>
      <c r="J7" s="9">
        <f>SQRT((3*$A$9)/(2*$A$28))*($A$34/(2*$A$9^2))*$B$28+SQRT((3*$A$28)/(2*$A$9))*(3*$A$34)/(2*$A$9^2)*$B$9+SQRT((3*$A$28)/(2*$A$9))*(1/$A$9)*$B$34</f>
        <v>3.262105123</v>
      </c>
      <c r="K7" s="29">
        <f>$A$22*(1+$A$28/(2*$A$9))</f>
        <v>0.5422714572</v>
      </c>
      <c r="L7" s="29">
        <f>(1+$A$28/(2*$A$9))*$B$22+($A$22/(2*$A$9))*$B$28+(($A$22*$A$28)/(2*$A$9^2))*$B$9</f>
        <v>0.03366651137</v>
      </c>
      <c r="M7" s="1">
        <f t="shared" ref="M7:M9" si="1">1+INT(I7/PI())</f>
        <v>4</v>
      </c>
      <c r="N7" s="9">
        <f>$A$28/$A$9</f>
        <v>0.5357142857</v>
      </c>
      <c r="O7" s="9">
        <f>$B$28/$A$9+($A$28/$A$9^2)*$B$9</f>
        <v>0.1320153061</v>
      </c>
      <c r="P7" s="1">
        <v>-1.0</v>
      </c>
      <c r="Q7" s="4">
        <f t="shared" ref="Q7:Q9" si="2">($A$9/$A$34)^2</f>
        <v>0.008711111111</v>
      </c>
      <c r="R7" s="4">
        <f t="shared" ref="R7:R9" si="3">((2*$A$9)/$A$34^2)*$B$9+((2*$A$9^3)/$A$34^3)*$B$34</f>
        <v>0.003428726519</v>
      </c>
      <c r="S7" s="1">
        <v>-2.0</v>
      </c>
      <c r="T7" s="9">
        <f>($A$34^2*$A$28)/($A$9^3)</f>
        <v>61.49781341</v>
      </c>
      <c r="U7" s="9">
        <f>((2*$A$34*$A$28)/$A$9^3)*$B$34+($A$34^2/$A$9^3)*$B$28+((3*$A$34^2*$A$28)/$A$9^4)*$B$9</f>
        <v>41.77458611</v>
      </c>
      <c r="V7" s="1">
        <v>2.0</v>
      </c>
      <c r="W7" s="1"/>
      <c r="X7" s="1"/>
      <c r="Y7" s="1"/>
      <c r="AA7" s="3" t="s">
        <v>40</v>
      </c>
      <c r="AB7" s="1">
        <v>2.0</v>
      </c>
      <c r="AC7" s="1">
        <f t="shared" ref="AC7:AC9" si="4">AB7-M7</f>
        <v>-2</v>
      </c>
      <c r="AD7" s="1">
        <v>3.0</v>
      </c>
      <c r="AE7" s="1">
        <f t="shared" ref="AE7:AE9" si="5">AD7-M7</f>
        <v>-1</v>
      </c>
      <c r="AF7" s="29">
        <v>5.61</v>
      </c>
      <c r="AG7" s="29">
        <f t="shared" ref="AG7:AG9" si="6">$AS$6</f>
        <v>0.6472</v>
      </c>
      <c r="AH7" s="29">
        <f t="shared" ref="AH7:AH9" si="7">$X$6/AF7</f>
        <v>0.5525846702</v>
      </c>
      <c r="AI7" s="29">
        <f t="shared" ref="AI7:AI9" si="8">$Y$6/AF7+($X$6/AF7^2)*AG7</f>
        <v>0.06392741508</v>
      </c>
      <c r="AJ7" s="30">
        <f t="shared" ref="AJ7:AJ9" si="9">(AH7-K7)/K7</f>
        <v>0.01901854294</v>
      </c>
      <c r="AK7" s="29">
        <v>2.4</v>
      </c>
      <c r="AL7" s="1">
        <v>0.06</v>
      </c>
      <c r="AM7" s="29">
        <f t="shared" ref="AM7:AM9" si="10">$X$11/AK7</f>
        <v>0.8916666667</v>
      </c>
      <c r="AN7" s="29">
        <f t="shared" ref="AN7:AN9" si="11">$Y$11/AK7+($X$11/AK7^2)*AL7</f>
        <v>0.02270833333</v>
      </c>
      <c r="AO7" s="30">
        <f t="shared" ref="AO7:AO9" si="12">(AM7-K7)/K7</f>
        <v>0.6443179053</v>
      </c>
      <c r="AP7" s="1"/>
      <c r="AQ7" s="31">
        <v>252.0</v>
      </c>
      <c r="AR7" s="31">
        <v>343.0</v>
      </c>
      <c r="AS7" s="1"/>
      <c r="AT7" s="1"/>
      <c r="AU7" s="1"/>
      <c r="AV7" s="1"/>
      <c r="AW7" s="1"/>
      <c r="AX7" s="1"/>
      <c r="AY7" s="1"/>
    </row>
    <row r="8">
      <c r="A8" s="3" t="s">
        <v>41</v>
      </c>
      <c r="B8" s="3" t="s">
        <v>3</v>
      </c>
      <c r="C8" s="3" t="s">
        <v>42</v>
      </c>
      <c r="D8" s="3" t="s">
        <v>3</v>
      </c>
      <c r="E8" s="3" t="s">
        <v>43</v>
      </c>
      <c r="F8" s="3" t="s">
        <v>3</v>
      </c>
      <c r="G8" s="1"/>
      <c r="H8" s="3" t="s">
        <v>44</v>
      </c>
      <c r="I8" s="9">
        <f>SQRT((3*$C$28)/(2*$A$9))*($A$34/$A$9)</f>
        <v>13.58283624</v>
      </c>
      <c r="J8" s="9">
        <f>SQRT((3*$A$9)/(2*$C$28))*($A$34/(2*$A$9^2))*$D$28+SQRT((3*$C$28)/(2*$A$9))*(3*$A$34)/(2*$A$9^2)*$B$9+SQRT((3*$C$28)/(2*$A$9))*(1/$A$9)*$B$34</f>
        <v>4.443527855</v>
      </c>
      <c r="K8" s="29">
        <f>$A$22*(1+$C$28/(2*$A$9))</f>
        <v>0.6568358496</v>
      </c>
      <c r="L8" s="29">
        <f>(1+$C$28/(2*$A$9))*$B$22+($A$22/(2*$A$9))*$D$28+(($A$22*$C$28)/(2*$A$9^2))*$B$9</f>
        <v>0.05731838028</v>
      </c>
      <c r="M8" s="1">
        <f t="shared" si="1"/>
        <v>5</v>
      </c>
      <c r="N8" s="9">
        <f>$C$28/$A$9</f>
        <v>1.071428571</v>
      </c>
      <c r="O8" s="9">
        <f>$D$28/$A$9+($C$28/$A$9^2)*$B$9</f>
        <v>0.237244898</v>
      </c>
      <c r="P8" s="1">
        <v>0.0</v>
      </c>
      <c r="Q8" s="4">
        <f t="shared" si="2"/>
        <v>0.008711111111</v>
      </c>
      <c r="R8" s="4">
        <f t="shared" si="3"/>
        <v>0.003428726519</v>
      </c>
      <c r="S8" s="1">
        <v>-2.0</v>
      </c>
      <c r="T8" s="9">
        <f>($A$34^2*$C$28)/($A$9^3)</f>
        <v>122.9956268</v>
      </c>
      <c r="U8" s="9">
        <f>((2*$A$34*$C$28)/$A$9^3)*$B$34+($A$34^2/$A$9^3)*$D$28+((3*$A$34^2*$C$28)/$A$9^4)*$B$9</f>
        <v>80.47428155</v>
      </c>
      <c r="V8" s="1">
        <v>2.0</v>
      </c>
      <c r="W8" s="1"/>
      <c r="X8" s="32" t="s">
        <v>45</v>
      </c>
      <c r="Y8" s="1"/>
      <c r="AA8" s="3" t="s">
        <v>44</v>
      </c>
      <c r="AB8" s="1">
        <v>3.0</v>
      </c>
      <c r="AC8" s="1">
        <f t="shared" si="4"/>
        <v>-2</v>
      </c>
      <c r="AD8" s="1">
        <v>5.0</v>
      </c>
      <c r="AE8" s="1">
        <f t="shared" si="5"/>
        <v>0</v>
      </c>
      <c r="AF8" s="29">
        <v>5.83</v>
      </c>
      <c r="AG8" s="29">
        <f t="shared" si="6"/>
        <v>0.6472</v>
      </c>
      <c r="AH8" s="29">
        <f t="shared" si="7"/>
        <v>0.5317324185</v>
      </c>
      <c r="AI8" s="29">
        <f t="shared" si="8"/>
        <v>0.05920020948</v>
      </c>
      <c r="AJ8" s="30">
        <f t="shared" si="9"/>
        <v>-0.1904637683</v>
      </c>
      <c r="AK8" s="29">
        <v>3.998</v>
      </c>
      <c r="AL8" s="1">
        <v>0.09</v>
      </c>
      <c r="AM8" s="29">
        <f t="shared" si="10"/>
        <v>0.5352676338</v>
      </c>
      <c r="AN8" s="29">
        <f t="shared" si="11"/>
        <v>0.0122996716</v>
      </c>
      <c r="AO8" s="30">
        <f t="shared" si="12"/>
        <v>-0.1850815784</v>
      </c>
      <c r="AP8" s="1"/>
      <c r="AQ8" s="31">
        <v>365.0</v>
      </c>
      <c r="AR8" s="31">
        <v>266.0</v>
      </c>
      <c r="AS8" s="1"/>
      <c r="AT8" s="1"/>
      <c r="AU8" s="1"/>
      <c r="AV8" s="1"/>
      <c r="AW8" s="1"/>
      <c r="AX8" s="1"/>
      <c r="AY8" s="1"/>
    </row>
    <row r="9">
      <c r="A9" s="4">
        <f>'Médias hs'!E8</f>
        <v>0.01866666667</v>
      </c>
      <c r="B9" s="4">
        <f>'Médias hs'!G8</f>
        <v>0.003666666667</v>
      </c>
      <c r="C9" s="4">
        <f>'Médias hs'!E14</f>
        <v>0.05216666667</v>
      </c>
      <c r="D9" s="4">
        <f>'Médias hs'!G14</f>
        <v>0.002166666667</v>
      </c>
      <c r="E9" s="4">
        <f>'Médias hs'!E20</f>
        <v>0.06266666667</v>
      </c>
      <c r="F9" s="4">
        <f>'Médias hs'!G20</f>
        <v>0.002166666667</v>
      </c>
      <c r="G9" s="1"/>
      <c r="H9" s="3" t="s">
        <v>46</v>
      </c>
      <c r="I9" s="9">
        <f>SQRT((3*$E$28)/(2*$A$9))*($A$34/$A$9)</f>
        <v>16.63550902</v>
      </c>
      <c r="J9" s="9">
        <f>SQRT((3*$A$9)/(2*$E$28))*($A$34/(2*$A$9^2))*$F$28+SQRT((3*$E$28)/(2*$A$9))*(3*$A$34)/(2*$A$9^2)*$B$9+SQRT((3*$E$28)/(2*$A$9))*(1/$A$9)*$B$34</f>
        <v>5.37287333</v>
      </c>
      <c r="K9" s="29">
        <f>$A$22*(1+$E$28/(2*$A$9))</f>
        <v>0.771400242</v>
      </c>
      <c r="L9" s="29">
        <f>(1+$E$28/(2*$A$9))*$B$22+($A$22/(2*$A$9))*$F$28+(($A$22*$E$28)/(2*$A$9^2))*$B$9</f>
        <v>0.08097024918</v>
      </c>
      <c r="M9" s="1">
        <f t="shared" si="1"/>
        <v>6</v>
      </c>
      <c r="N9" s="9">
        <f>$E$28/$A$9</f>
        <v>1.607142857</v>
      </c>
      <c r="O9" s="9">
        <f>$F$28/$A$9+($E$28/$A$9^2)*$B$9</f>
        <v>0.3424744898</v>
      </c>
      <c r="P9" s="1">
        <v>1.0</v>
      </c>
      <c r="Q9" s="4">
        <f t="shared" si="2"/>
        <v>0.008711111111</v>
      </c>
      <c r="R9" s="4">
        <f t="shared" si="3"/>
        <v>0.003428726519</v>
      </c>
      <c r="S9" s="1">
        <v>-2.0</v>
      </c>
      <c r="T9" s="9">
        <f>($A$34^2*$E$28)/($A$9^3)</f>
        <v>184.4934402</v>
      </c>
      <c r="U9" s="9">
        <f>((2*$A$34*$E$28)/$A$9^3)*$B$34+($A$34^2/$A$9^3)*$F$28+((3*$A$34^2*$E$28)/$A$9^4)*$B$9</f>
        <v>119.173977</v>
      </c>
      <c r="V9" s="1">
        <v>2.0</v>
      </c>
      <c r="W9" s="1"/>
      <c r="X9" s="1"/>
      <c r="Y9" s="1"/>
      <c r="AA9" s="3" t="s">
        <v>46</v>
      </c>
      <c r="AB9" s="1">
        <v>4.0</v>
      </c>
      <c r="AC9" s="1">
        <f t="shared" si="4"/>
        <v>-2</v>
      </c>
      <c r="AD9" s="1">
        <v>6.0</v>
      </c>
      <c r="AE9" s="1">
        <f t="shared" si="5"/>
        <v>0</v>
      </c>
      <c r="AF9" s="29">
        <v>4.95</v>
      </c>
      <c r="AG9" s="29">
        <f t="shared" si="6"/>
        <v>0.6472</v>
      </c>
      <c r="AH9" s="29">
        <f t="shared" si="7"/>
        <v>0.6262626263</v>
      </c>
      <c r="AI9" s="29">
        <f t="shared" si="8"/>
        <v>0.08208427711</v>
      </c>
      <c r="AJ9" s="30">
        <f t="shared" si="9"/>
        <v>-0.1881482631</v>
      </c>
      <c r="AK9" s="29">
        <v>3.5</v>
      </c>
      <c r="AL9" s="1">
        <v>0.07</v>
      </c>
      <c r="AM9" s="29">
        <f t="shared" si="10"/>
        <v>0.6114285714</v>
      </c>
      <c r="AN9" s="29">
        <f t="shared" si="11"/>
        <v>0.01251428571</v>
      </c>
      <c r="AO9" s="30">
        <f t="shared" si="12"/>
        <v>-0.2073782997</v>
      </c>
      <c r="AP9" s="1"/>
      <c r="AQ9" s="31">
        <v>454.0</v>
      </c>
      <c r="AR9" s="31">
        <v>267.0</v>
      </c>
      <c r="AS9" s="1"/>
      <c r="AT9" s="1"/>
      <c r="AU9" s="1"/>
      <c r="AV9" s="1"/>
      <c r="AW9" s="1"/>
      <c r="AX9" s="1"/>
      <c r="AY9" s="1"/>
    </row>
    <row r="10">
      <c r="A10" s="1"/>
      <c r="B10" s="1"/>
      <c r="C10" s="1"/>
      <c r="D10" s="1"/>
      <c r="E10" s="1"/>
      <c r="F10" s="1"/>
      <c r="G10" s="1"/>
      <c r="H10" s="3"/>
      <c r="I10" s="9"/>
      <c r="J10" s="1"/>
      <c r="K10" s="29"/>
      <c r="L10" s="29"/>
      <c r="M10" s="1"/>
      <c r="N10" s="9"/>
      <c r="O10" s="9"/>
      <c r="P10" s="1"/>
      <c r="Q10" s="1"/>
      <c r="R10" s="4"/>
      <c r="S10" s="1"/>
      <c r="T10" s="9"/>
      <c r="U10" s="9"/>
      <c r="V10" s="1"/>
      <c r="W10" s="1"/>
      <c r="X10" s="22" t="s">
        <v>27</v>
      </c>
      <c r="Y10" s="21" t="s">
        <v>3</v>
      </c>
      <c r="AA10" s="3"/>
      <c r="AB10" s="1"/>
      <c r="AC10" s="1"/>
      <c r="AD10" s="1"/>
      <c r="AE10" s="1"/>
      <c r="AF10" s="29"/>
      <c r="AG10" s="29"/>
      <c r="AH10" s="29"/>
      <c r="AI10" s="29"/>
      <c r="AJ10" s="30"/>
      <c r="AK10" s="29"/>
      <c r="AL10" s="1"/>
      <c r="AM10" s="29"/>
      <c r="AN10" s="29"/>
      <c r="AO10" s="30"/>
      <c r="AP10" s="1"/>
      <c r="AQ10" s="31">
        <v>416.0</v>
      </c>
      <c r="AR10" s="31">
        <v>264.0</v>
      </c>
      <c r="AS10" s="1"/>
      <c r="AT10" s="1"/>
      <c r="AU10" s="1"/>
      <c r="AV10" s="1"/>
      <c r="AW10" s="1"/>
      <c r="AX10" s="1"/>
      <c r="AY10" s="1"/>
    </row>
    <row r="11">
      <c r="A11" s="3" t="s">
        <v>47</v>
      </c>
      <c r="B11" s="3" t="s">
        <v>3</v>
      </c>
      <c r="C11" s="3" t="s">
        <v>48</v>
      </c>
      <c r="D11" s="3" t="s">
        <v>3</v>
      </c>
      <c r="E11" s="3" t="s">
        <v>49</v>
      </c>
      <c r="F11" s="3" t="s">
        <v>3</v>
      </c>
      <c r="G11" s="1"/>
      <c r="H11" s="3" t="s">
        <v>50</v>
      </c>
      <c r="I11" s="9">
        <f>SQRT((3*$A$28)/(2*$A$9))*($C$34/$A$9)</f>
        <v>38.41806244</v>
      </c>
      <c r="J11" s="9">
        <f>SQRT((3*$A$9)/(2*$A$28))*($C$34/(2*$A$9^2))*$B$28+SQRT((3*$A$28)/(2*$A$9))*(3*$C$34)/(2*$A$9^2)*$B$9+SQRT((3*$A$28)/(2*$A$9))*(1/$A$9)*$D$34</f>
        <v>12.47214956</v>
      </c>
      <c r="K11" s="29">
        <f>$A$22*(1+$A$28/(2*$A$9))</f>
        <v>0.5422714572</v>
      </c>
      <c r="L11" s="29">
        <f>(1+$A$28/(2*$A$9))*$B$22+($A$22/(2*$A$9))*$B$28+(($A$22*$A$28)/(2*$A$9^2))*$B$9</f>
        <v>0.03366651137</v>
      </c>
      <c r="M11" s="1">
        <f t="shared" ref="M11:M13" si="13">1+INT(I11/PI())</f>
        <v>13</v>
      </c>
      <c r="N11" s="9">
        <f>$A$28/$A$9</f>
        <v>0.5357142857</v>
      </c>
      <c r="O11" s="9">
        <f>$B$28/$A$9+($A$28/$A$9^2)*$B$9</f>
        <v>0.1320153061</v>
      </c>
      <c r="P11" s="1">
        <v>-1.0</v>
      </c>
      <c r="Q11" s="5">
        <f t="shared" ref="Q11:Q13" si="14">($A$9/$C$34)^2</f>
        <v>0.0005444444444</v>
      </c>
      <c r="R11" s="5">
        <f t="shared" ref="R11:R13" si="15">((2*$A$9)/$C$34^2)*$B$9+((2*$A$9^3)/$C$34^3)*$D$34</f>
        <v>0.0002139905185</v>
      </c>
      <c r="S11" s="1">
        <v>-4.0</v>
      </c>
      <c r="T11" s="9">
        <f>($C$34^2*$A$28)/($A$9^3)</f>
        <v>983.9650146</v>
      </c>
      <c r="U11" s="9">
        <f>((2*$C$34*$A$28)/$A$9^3)*$D$34+($C$34^2/$A$9^3)*$B$28+((3*$C$34^2*$A$28)/$A$9^4)*$B$9</f>
        <v>638.8744273</v>
      </c>
      <c r="V11" s="1">
        <v>3.0</v>
      </c>
      <c r="W11" s="1" t="s">
        <v>51</v>
      </c>
      <c r="X11" s="4">
        <v>2.14</v>
      </c>
      <c r="Y11" s="1">
        <v>0.001</v>
      </c>
      <c r="AA11" s="3" t="s">
        <v>50</v>
      </c>
      <c r="AB11" s="1">
        <v>6.0</v>
      </c>
      <c r="AC11" s="1">
        <f t="shared" ref="AC11:AC13" si="16">AB11-M11</f>
        <v>-7</v>
      </c>
      <c r="AD11" s="1">
        <v>9.0</v>
      </c>
      <c r="AE11" s="1">
        <f t="shared" ref="AE11:AE13" si="17">AD11-M11</f>
        <v>-4</v>
      </c>
      <c r="AF11" s="29">
        <v>5.67</v>
      </c>
      <c r="AG11" s="29">
        <f t="shared" ref="AG11:AG13" si="18">$AS$6</f>
        <v>0.6472</v>
      </c>
      <c r="AH11" s="29">
        <f t="shared" ref="AH11:AH13" si="19">$X$6/AF11</f>
        <v>0.5467372134</v>
      </c>
      <c r="AI11" s="29">
        <f t="shared" ref="AI11:AI13" si="20">$Y$6/AF11+($X$6/AF11^2)*AG11</f>
        <v>0.06258347875</v>
      </c>
      <c r="AJ11" s="30">
        <f t="shared" ref="AJ11:AJ13" si="21">(AH11-K11)/K11</f>
        <v>0.008235277937</v>
      </c>
      <c r="AK11" s="29">
        <v>3.189</v>
      </c>
      <c r="AL11" s="1">
        <v>0.08</v>
      </c>
      <c r="AM11" s="29">
        <f>$X$11/AK11</f>
        <v>0.6710567576</v>
      </c>
      <c r="AN11" s="29">
        <f>$Y$11/AK11+($X$11/AK11^2)*AL11</f>
        <v>0.01714786473</v>
      </c>
      <c r="AO11" s="30">
        <f t="shared" ref="AO11:AO13" si="22">(AM11-K11)/K11</f>
        <v>0.2374923088</v>
      </c>
      <c r="AP11" s="1"/>
      <c r="AQ11" s="29"/>
      <c r="AR11" s="29"/>
      <c r="AS11" s="1"/>
      <c r="AT11" s="1"/>
      <c r="AU11" s="1"/>
      <c r="AV11" s="1"/>
      <c r="AW11" s="1"/>
      <c r="AX11" s="1"/>
      <c r="AY11" s="1"/>
    </row>
    <row r="12">
      <c r="A12" s="4">
        <v>0.02</v>
      </c>
      <c r="B12" s="1">
        <v>0.001</v>
      </c>
      <c r="C12" s="4">
        <v>0.04</v>
      </c>
      <c r="D12" s="1">
        <v>0.001</v>
      </c>
      <c r="E12" s="4">
        <v>0.06</v>
      </c>
      <c r="F12" s="1">
        <v>0.001</v>
      </c>
      <c r="G12" s="1"/>
      <c r="H12" s="3" t="s">
        <v>52</v>
      </c>
      <c r="I12" s="9">
        <f>SQRT((3*$C$28)/(2*$A$9))*($C$34/$A$9)</f>
        <v>54.33134495</v>
      </c>
      <c r="J12" s="9">
        <f>SQRT((3*$A$9)/(2*$C$28))*($C$34/(2*$A$9^2))*$D$28+SQRT((3*$C$28)/(2*$A$9))*(3*$C$34)/(2*$A$9^2)*$B$9+SQRT((3*$C$28)/(2*$A$9))*(1/$A$9)*$D$34</f>
        <v>16.95914124</v>
      </c>
      <c r="K12" s="29">
        <f>$A$22*(1+$C$28/(2*$A$9))</f>
        <v>0.6568358496</v>
      </c>
      <c r="L12" s="29">
        <f>(1+$C$28/(2*$A$9))*$B$22+($A$22/(2*$A$9))*$D$28+(($A$22*$C$28)/(2*$A$9^2))*$B$9</f>
        <v>0.05731838028</v>
      </c>
      <c r="M12" s="1">
        <f t="shared" si="13"/>
        <v>18</v>
      </c>
      <c r="N12" s="9">
        <f>$C$28/$A$9</f>
        <v>1.071428571</v>
      </c>
      <c r="O12" s="9">
        <f>$D$28/$A$9+($C$28/$A$9^2)*$B$9</f>
        <v>0.237244898</v>
      </c>
      <c r="P12" s="1">
        <v>0.0</v>
      </c>
      <c r="Q12" s="5">
        <f t="shared" si="14"/>
        <v>0.0005444444444</v>
      </c>
      <c r="R12" s="5">
        <f t="shared" si="15"/>
        <v>0.0002139905185</v>
      </c>
      <c r="S12" s="1">
        <v>-4.0</v>
      </c>
      <c r="T12" s="9">
        <f>($C$34^2*$C$28)/($A$9^3)</f>
        <v>1967.930029</v>
      </c>
      <c r="U12" s="9">
        <f>((2*$C$34*$C$28)/$A$9^3)*$D$34+($C$34^2/$A$9^3)*$D$28+((3*$C$34^2*$C$28)/$A$9^4)*$B$9</f>
        <v>1228.550604</v>
      </c>
      <c r="V12" s="1">
        <v>3.0</v>
      </c>
      <c r="W12" s="1" t="s">
        <v>53</v>
      </c>
      <c r="X12" s="1">
        <v>2.126</v>
      </c>
      <c r="Y12" s="1">
        <v>0.001</v>
      </c>
      <c r="Z12" s="1"/>
      <c r="AA12" s="3" t="s">
        <v>52</v>
      </c>
      <c r="AB12" s="1">
        <v>12.0</v>
      </c>
      <c r="AC12" s="1">
        <f t="shared" si="16"/>
        <v>-6</v>
      </c>
      <c r="AD12" s="1">
        <v>9.0</v>
      </c>
      <c r="AE12" s="1">
        <f t="shared" si="17"/>
        <v>-9</v>
      </c>
      <c r="AF12" s="29">
        <v>4.45</v>
      </c>
      <c r="AG12" s="29">
        <f t="shared" si="18"/>
        <v>0.6472</v>
      </c>
      <c r="AH12" s="9">
        <f t="shared" si="19"/>
        <v>0.6966292135</v>
      </c>
      <c r="AI12" s="9">
        <f t="shared" si="20"/>
        <v>0.1015412195</v>
      </c>
      <c r="AJ12" s="30">
        <f t="shared" si="21"/>
        <v>0.06058342263</v>
      </c>
      <c r="AK12" s="29">
        <v>3.727</v>
      </c>
      <c r="AL12" s="1">
        <v>0.03</v>
      </c>
      <c r="AM12" s="4">
        <f t="shared" ref="AM12:AM13" si="23">$X$13/AK12</f>
        <v>0.5808961631</v>
      </c>
      <c r="AN12" s="4">
        <f t="shared" ref="AN12:AN13" si="24">$Y$13/AK12+($X$13/AK12^2)*AL12</f>
        <v>0.004944160154</v>
      </c>
      <c r="AO12" s="30">
        <f t="shared" si="22"/>
        <v>-0.1156144058</v>
      </c>
      <c r="AP12" s="1"/>
      <c r="AQ12" s="33" t="s">
        <v>54</v>
      </c>
      <c r="AR12" s="33" t="s">
        <v>55</v>
      </c>
      <c r="AS12" s="1"/>
      <c r="AT12" s="1"/>
      <c r="AU12" s="1"/>
      <c r="AV12" s="1"/>
      <c r="AW12" s="1"/>
      <c r="AX12" s="1"/>
      <c r="AY12" s="1"/>
    </row>
    <row r="13">
      <c r="A13" s="1"/>
      <c r="B13" s="1"/>
      <c r="C13" s="1"/>
      <c r="D13" s="1"/>
      <c r="E13" s="1"/>
      <c r="F13" s="1"/>
      <c r="G13" s="1"/>
      <c r="H13" s="3" t="s">
        <v>56</v>
      </c>
      <c r="I13" s="9">
        <f>SQRT((3*$E$28)/(2*$A$9))*($C$34/$A$9)</f>
        <v>66.54203608</v>
      </c>
      <c r="J13" s="9">
        <f>SQRT((3*$A$9)/(2*$E$28))*($C$34/(2*$A$9^2))*$F$28+SQRT((3*$E$28)/(2*$A$9))*(3*$C$34)/(2*$A$9^2)*$B$9+SQRT((3*$E$28)/(2*$A$9))*(1/$A$9)*$D$34</f>
        <v>20.49336278</v>
      </c>
      <c r="K13" s="29">
        <f>$A$22*(1+$E$28/(2*$A$9))</f>
        <v>0.771400242</v>
      </c>
      <c r="L13" s="29">
        <f>(1+$E$28/(2*$A$9))*$B$22+($A$22/(2*$A$9))*$F$28+(($A$22*$E$28)/(2*$A$9^2))*$B$9</f>
        <v>0.08097024918</v>
      </c>
      <c r="M13" s="1">
        <f t="shared" si="13"/>
        <v>22</v>
      </c>
      <c r="N13" s="9">
        <f>$E$28/$A$9</f>
        <v>1.607142857</v>
      </c>
      <c r="O13" s="9">
        <f>$F$28/$A$9+($E$28/$A$9^2)*$B$9</f>
        <v>0.3424744898</v>
      </c>
      <c r="P13" s="1">
        <v>1.0</v>
      </c>
      <c r="Q13" s="5">
        <f t="shared" si="14"/>
        <v>0.0005444444444</v>
      </c>
      <c r="R13" s="5">
        <f t="shared" si="15"/>
        <v>0.0002139905185</v>
      </c>
      <c r="S13" s="1">
        <v>-4.0</v>
      </c>
      <c r="T13" s="9">
        <f>($C$34^2*$E$28)/($A$9^3)</f>
        <v>2951.895044</v>
      </c>
      <c r="U13" s="9">
        <f>((2*$C$34*$E$28)/$A$9^3)*$D$34+($C$34^2/$A$9^3)*$F$28+((3*$C$34^2*$E$28)/$A$9^4)*$B$9</f>
        <v>1818.226781</v>
      </c>
      <c r="V13" s="1">
        <v>3.0</v>
      </c>
      <c r="W13" s="1" t="s">
        <v>57</v>
      </c>
      <c r="X13" s="1">
        <v>2.165</v>
      </c>
      <c r="Y13" s="1">
        <v>0.001</v>
      </c>
      <c r="Z13" s="1"/>
      <c r="AA13" s="3" t="s">
        <v>56</v>
      </c>
      <c r="AB13" s="1">
        <v>11.0</v>
      </c>
      <c r="AC13" s="1">
        <f t="shared" si="16"/>
        <v>-11</v>
      </c>
      <c r="AD13" s="1">
        <v>15.0</v>
      </c>
      <c r="AE13" s="1">
        <f t="shared" si="17"/>
        <v>-7</v>
      </c>
      <c r="AF13" s="29">
        <v>4.22</v>
      </c>
      <c r="AG13" s="29">
        <f t="shared" si="18"/>
        <v>0.6472</v>
      </c>
      <c r="AH13" s="9">
        <f t="shared" si="19"/>
        <v>0.7345971564</v>
      </c>
      <c r="AI13" s="9">
        <f t="shared" si="20"/>
        <v>0.1128984075</v>
      </c>
      <c r="AJ13" s="30">
        <f t="shared" si="21"/>
        <v>-0.04770945559</v>
      </c>
      <c r="AK13" s="29">
        <v>3.368</v>
      </c>
      <c r="AL13" s="1">
        <v>0.09</v>
      </c>
      <c r="AM13" s="29">
        <f t="shared" si="23"/>
        <v>0.6428147268</v>
      </c>
      <c r="AN13" s="29">
        <f t="shared" si="24"/>
        <v>0.01747426527</v>
      </c>
      <c r="AO13" s="30">
        <f t="shared" si="22"/>
        <v>-0.1666910485</v>
      </c>
      <c r="AP13" s="1"/>
      <c r="AQ13" s="31">
        <f t="shared" ref="AQ13:AR13" si="25">AVERAGE(AQ6:AQ10)</f>
        <v>367</v>
      </c>
      <c r="AR13" s="31">
        <f t="shared" si="25"/>
        <v>280.2</v>
      </c>
      <c r="AS13" s="1"/>
      <c r="AT13" s="1"/>
      <c r="AU13" s="1"/>
      <c r="AV13" s="1"/>
      <c r="AW13" s="1"/>
      <c r="AX13" s="1"/>
      <c r="AY13" s="1"/>
    </row>
    <row r="14">
      <c r="A14" s="3" t="s">
        <v>58</v>
      </c>
      <c r="B14" s="3" t="s">
        <v>3</v>
      </c>
      <c r="C14" s="3" t="s">
        <v>59</v>
      </c>
      <c r="D14" s="3" t="s">
        <v>3</v>
      </c>
      <c r="E14" s="3" t="s">
        <v>60</v>
      </c>
      <c r="F14" s="3" t="s">
        <v>3</v>
      </c>
      <c r="G14" s="1"/>
      <c r="H14" s="3"/>
      <c r="I14" s="9"/>
      <c r="J14" s="9"/>
      <c r="K14" s="29"/>
      <c r="L14" s="29"/>
      <c r="M14" s="1"/>
      <c r="N14" s="9"/>
      <c r="O14" s="9"/>
      <c r="P14" s="1"/>
      <c r="Q14" s="1"/>
      <c r="R14" s="4"/>
      <c r="S14" s="1"/>
      <c r="T14" s="9"/>
      <c r="U14" s="9"/>
      <c r="V14" s="1"/>
      <c r="W14" s="1"/>
      <c r="X14" s="1"/>
      <c r="Y14" s="1"/>
      <c r="Z14" s="1"/>
      <c r="AA14" s="3"/>
      <c r="AB14" s="1"/>
      <c r="AC14" s="1"/>
      <c r="AD14" s="1"/>
      <c r="AE14" s="1"/>
      <c r="AF14" s="29"/>
      <c r="AG14" s="29"/>
      <c r="AH14" s="1"/>
      <c r="AI14" s="29"/>
      <c r="AJ14" s="30"/>
      <c r="AK14" s="29"/>
      <c r="AL14" s="1"/>
      <c r="AM14" s="29"/>
      <c r="AN14" s="29"/>
      <c r="AO14" s="30"/>
      <c r="AP14" s="1"/>
      <c r="AQ14" s="29"/>
      <c r="AR14" s="29"/>
      <c r="AS14" s="1"/>
      <c r="AT14" s="1"/>
      <c r="AU14" s="1"/>
      <c r="AV14" s="1"/>
      <c r="AW14" s="1"/>
      <c r="AX14" s="1"/>
      <c r="AY14" s="1"/>
    </row>
    <row r="15">
      <c r="A15" s="4">
        <v>0.1</v>
      </c>
      <c r="B15" s="1">
        <v>0.002</v>
      </c>
      <c r="C15" s="4">
        <v>0.4</v>
      </c>
      <c r="D15" s="1">
        <v>0.002</v>
      </c>
      <c r="E15" s="4">
        <v>0.5</v>
      </c>
      <c r="F15" s="1">
        <v>0.002</v>
      </c>
      <c r="G15" s="1"/>
      <c r="H15" s="3" t="s">
        <v>61</v>
      </c>
      <c r="I15" s="9">
        <f>SQRT((3*$A$28)/(2*$A$9))*($E$34/$A$9)</f>
        <v>48.02257805</v>
      </c>
      <c r="J15" s="9">
        <f>SQRT((3*$A$9)/(2*$A$28))*($E$34/(2*$A$9^2))*$B$28+SQRT((3*$A$28)/(2*$A$9))*(3*$E$34)/(2*$A$9^2)*$B$9+SQRT((3*$A$28)/(2*$A$9))*(1/$A$9)*$F$34</f>
        <v>15.54216437</v>
      </c>
      <c r="K15" s="29">
        <f>$A$22*(1+$A$28/(2*$A$9))</f>
        <v>0.5422714572</v>
      </c>
      <c r="L15" s="29">
        <f>(1+$A$28/(2*$A$9))*$B$22+($A$22/(2*$A$9))*$B$28+(($A$22*$A$28)/(2*$A$9^2))*$B$9</f>
        <v>0.03366651137</v>
      </c>
      <c r="M15" s="1">
        <f t="shared" ref="M15:M17" si="26">1+INT(I15/PI())</f>
        <v>16</v>
      </c>
      <c r="N15" s="9">
        <f>$A$28/$A$9</f>
        <v>0.5357142857</v>
      </c>
      <c r="O15" s="9">
        <f>$B$28/$A$9+($A$28/$A$9^2)*$B$9</f>
        <v>0.1320153061</v>
      </c>
      <c r="P15" s="1">
        <v>-1.0</v>
      </c>
      <c r="Q15" s="5">
        <f t="shared" ref="Q15:Q17" si="27">($A$9/$E$34)^2</f>
        <v>0.0003484444444</v>
      </c>
      <c r="R15" s="5">
        <f t="shared" ref="R15:R17" si="28">((2*$A$9)/$E$34^2)*$B$9+((2*$A$9^3)/$E$34^3)*$F$34</f>
        <v>0.0001369409233</v>
      </c>
      <c r="S15" s="1">
        <v>-4.0</v>
      </c>
      <c r="T15" s="9">
        <f>($E$34^2*$A$28)/($A$9^3)</f>
        <v>1537.445335</v>
      </c>
      <c r="U15" s="9">
        <f>((2*$E$34*$A$28)/$A$9^3)*$F$34+($E$34^2/$A$9^3)*$B$28+((3*$E$34^2*$A$28)/$A$9^4)*$B$9</f>
        <v>995.166402</v>
      </c>
      <c r="V15" s="1">
        <v>3.0</v>
      </c>
      <c r="W15" s="1"/>
      <c r="X15" s="1"/>
      <c r="Y15" s="1"/>
      <c r="Z15" s="1"/>
      <c r="AA15" s="3" t="s">
        <v>61</v>
      </c>
      <c r="AB15" s="1">
        <v>12.0</v>
      </c>
      <c r="AC15" s="1">
        <f t="shared" ref="AC15:AC17" si="29">AB15-M15</f>
        <v>-4</v>
      </c>
      <c r="AD15" s="1">
        <v>8.0</v>
      </c>
      <c r="AE15" s="1">
        <f t="shared" ref="AE15:AE17" si="30">AD15-M15</f>
        <v>-8</v>
      </c>
      <c r="AF15" s="29">
        <v>5.43</v>
      </c>
      <c r="AG15" s="29">
        <f t="shared" ref="AG15:AG17" si="31">$AS$6</f>
        <v>0.6472</v>
      </c>
      <c r="AH15" s="29">
        <f t="shared" ref="AH15:AH17" si="32">$X$6/AF15</f>
        <v>0.5709023941</v>
      </c>
      <c r="AI15" s="29">
        <f t="shared" ref="AI15:AI17" si="33">$Y$6/AF15+($X$6/AF15^2)*AG15</f>
        <v>0.06822983968</v>
      </c>
      <c r="AJ15" s="30">
        <f t="shared" ref="AJ15:AJ17" si="34">(AH15-K15)/K15</f>
        <v>0.05279816315</v>
      </c>
      <c r="AK15" s="29">
        <v>4.053</v>
      </c>
      <c r="AL15" s="1">
        <v>0.07</v>
      </c>
      <c r="AM15" s="29">
        <f t="shared" ref="AM15:AM17" si="35">$X$13/AK15</f>
        <v>0.5341722181</v>
      </c>
      <c r="AN15" s="29">
        <f t="shared" ref="AN15:AN17" si="36">$Y$13/AK15+($X$13/AK15^2)*AL15</f>
        <v>0.00947250315</v>
      </c>
      <c r="AO15" s="30">
        <f t="shared" ref="AO15:AO17" si="37">(AM15-K15)/K15</f>
        <v>-0.01493576514</v>
      </c>
      <c r="AP15" s="1"/>
      <c r="AQ15" s="29"/>
      <c r="AR15" s="29"/>
      <c r="AS15" s="1"/>
      <c r="AT15" s="1"/>
      <c r="AU15" s="1"/>
      <c r="AV15" s="1"/>
      <c r="AW15" s="1"/>
      <c r="AX15" s="1"/>
      <c r="AY15" s="1"/>
    </row>
    <row r="16">
      <c r="A16" s="1"/>
      <c r="B16" s="1"/>
      <c r="C16" s="1"/>
      <c r="D16" s="1"/>
      <c r="E16" s="1"/>
      <c r="F16" s="1"/>
      <c r="G16" s="1"/>
      <c r="H16" s="3" t="s">
        <v>62</v>
      </c>
      <c r="I16" s="9">
        <f>SQRT((3*$C$28)/(2*$A$9))*($E$34/$A$9)</f>
        <v>67.91418118</v>
      </c>
      <c r="J16" s="9">
        <f>SQRT((3*$A$9)/(2*$C$28))*($E$34/(2*$A$9^2))*$D$28+SQRT((3*$C$28)/(2*$A$9))*(3*$E$34)/(2*$A$9^2)*$B$9+SQRT((3*$C$28)/(2*$A$9))*(1/$A$9)*$F$34</f>
        <v>21.13101237</v>
      </c>
      <c r="K16" s="29">
        <f>$A$22*(1+$C$28/(2*$A$9))</f>
        <v>0.6568358496</v>
      </c>
      <c r="L16" s="29">
        <f>(1+$C$28/(2*$A$9))*$B$22+($A$22/(2*$A$9))*$D$28+(($A$22*$C$28)/(2*$A$9^2))*$B$9</f>
        <v>0.05731838028</v>
      </c>
      <c r="M16" s="1">
        <f t="shared" si="26"/>
        <v>22</v>
      </c>
      <c r="N16" s="9">
        <f>$C$28/$A$9</f>
        <v>1.071428571</v>
      </c>
      <c r="O16" s="9">
        <f>$D$28/$A$9+($C$28/$A$9^2)*$B$9</f>
        <v>0.237244898</v>
      </c>
      <c r="P16" s="1">
        <v>0.0</v>
      </c>
      <c r="Q16" s="5">
        <f t="shared" si="27"/>
        <v>0.0003484444444</v>
      </c>
      <c r="R16" s="5">
        <f t="shared" si="28"/>
        <v>0.0001369409233</v>
      </c>
      <c r="S16" s="1">
        <v>-4.0</v>
      </c>
      <c r="T16" s="9">
        <f>($E$34^2*$C$28)/($A$9^3)</f>
        <v>3074.890671</v>
      </c>
      <c r="U16" s="9">
        <f>((2*$E$34*$C$28)/$A$9^3)*$F$34+($E$34^2/$A$9^3)*$D$28+((3*$E$34^2*$C$28)/$A$9^4)*$B$9</f>
        <v>1913.460537</v>
      </c>
      <c r="V16" s="1">
        <v>3.0</v>
      </c>
      <c r="W16" s="1"/>
      <c r="X16" s="1"/>
      <c r="Y16" s="1"/>
      <c r="Z16" s="1"/>
      <c r="AA16" s="3" t="s">
        <v>62</v>
      </c>
      <c r="AB16" s="1">
        <v>9.0</v>
      </c>
      <c r="AC16" s="1">
        <f t="shared" si="29"/>
        <v>-13</v>
      </c>
      <c r="AD16" s="1">
        <v>10.0</v>
      </c>
      <c r="AE16" s="1">
        <f t="shared" si="30"/>
        <v>-12</v>
      </c>
      <c r="AF16" s="29">
        <v>4.29</v>
      </c>
      <c r="AG16" s="29">
        <f t="shared" si="31"/>
        <v>0.6472</v>
      </c>
      <c r="AH16" s="9">
        <f t="shared" si="32"/>
        <v>0.7226107226</v>
      </c>
      <c r="AI16" s="9">
        <f t="shared" si="33"/>
        <v>0.1092479393</v>
      </c>
      <c r="AJ16" s="30">
        <f t="shared" si="34"/>
        <v>0.1001389815</v>
      </c>
      <c r="AK16" s="29">
        <v>3.432</v>
      </c>
      <c r="AL16" s="1">
        <v>0.06</v>
      </c>
      <c r="AM16" s="29">
        <f t="shared" si="35"/>
        <v>0.6308275058</v>
      </c>
      <c r="AN16" s="29">
        <f t="shared" si="36"/>
        <v>0.01131982819</v>
      </c>
      <c r="AO16" s="30">
        <f t="shared" si="37"/>
        <v>-0.03959641332</v>
      </c>
      <c r="AP16" s="1"/>
      <c r="AQ16" s="29"/>
      <c r="AR16" s="29"/>
      <c r="AS16" s="1"/>
      <c r="AT16" s="1"/>
      <c r="AU16" s="1"/>
      <c r="AV16" s="1"/>
      <c r="AW16" s="1"/>
      <c r="AX16" s="1"/>
      <c r="AY16" s="1"/>
    </row>
    <row r="17">
      <c r="A17" s="1"/>
      <c r="B17" s="1"/>
      <c r="C17" s="1"/>
      <c r="D17" s="1"/>
      <c r="E17" s="1"/>
      <c r="F17" s="1"/>
      <c r="G17" s="1"/>
      <c r="H17" s="3" t="s">
        <v>63</v>
      </c>
      <c r="I17" s="9">
        <f>SQRT((3*$E$28)/(2*$A$9))*($E$34/$A$9)</f>
        <v>83.1775451</v>
      </c>
      <c r="J17" s="9">
        <f>SQRT((3*$A$9)/(2*$E$28))*($E$34/(2*$A$9^2))*$F$28+SQRT((3*$E$28)/(2*$A$9))*(3*$E$34)/(2*$A$9^2)*$B$9+SQRT((3*$E$28)/(2*$A$9))*(1/$A$9)*$F$34</f>
        <v>25.53352593</v>
      </c>
      <c r="K17" s="29">
        <f>$A$22*(1+$E$28/(2*$A$9))</f>
        <v>0.771400242</v>
      </c>
      <c r="L17" s="29">
        <f>(1+$E$28/(2*$A$9))*$B$22+($A$22/(2*$A$9))*$F$28+(($A$22*$E$28)/(2*$A$9^2))*$B$9</f>
        <v>0.08097024918</v>
      </c>
      <c r="M17" s="1">
        <f t="shared" si="26"/>
        <v>27</v>
      </c>
      <c r="N17" s="9">
        <f>$E$28/$A$9</f>
        <v>1.607142857</v>
      </c>
      <c r="O17" s="9">
        <f>$F$28/$A$9+($E$28/$A$9^2)*$B$9</f>
        <v>0.3424744898</v>
      </c>
      <c r="P17" s="1">
        <v>1.0</v>
      </c>
      <c r="Q17" s="5">
        <f t="shared" si="27"/>
        <v>0.0003484444444</v>
      </c>
      <c r="R17" s="5">
        <f t="shared" si="28"/>
        <v>0.0001369409233</v>
      </c>
      <c r="S17" s="1">
        <v>-4.0</v>
      </c>
      <c r="T17" s="9">
        <f>($E$34^2*$E$28)/($A$9^3)</f>
        <v>4612.336006</v>
      </c>
      <c r="U17" s="9">
        <f>((2*$E$34*$E$28)/$A$9^3)*$F$34+($E$34^2/$A$9^3)*$F$28+((3*$E$34^2*$E$28)/$A$9^4)*$B$9</f>
        <v>2831.754673</v>
      </c>
      <c r="V17" s="1">
        <v>3.0</v>
      </c>
      <c r="W17" s="1"/>
      <c r="X17" s="1"/>
      <c r="Y17" s="1"/>
      <c r="Z17" s="1"/>
      <c r="AA17" s="3" t="s">
        <v>63</v>
      </c>
      <c r="AB17" s="1">
        <v>9.0</v>
      </c>
      <c r="AC17" s="1">
        <f t="shared" si="29"/>
        <v>-18</v>
      </c>
      <c r="AD17" s="1">
        <v>16.0</v>
      </c>
      <c r="AE17" s="1">
        <f t="shared" si="30"/>
        <v>-11</v>
      </c>
      <c r="AF17" s="29">
        <v>4.0</v>
      </c>
      <c r="AG17" s="29">
        <f t="shared" si="31"/>
        <v>0.6472</v>
      </c>
      <c r="AH17" s="9">
        <f t="shared" si="32"/>
        <v>0.775</v>
      </c>
      <c r="AI17" s="9">
        <f t="shared" si="33"/>
        <v>0.125645</v>
      </c>
      <c r="AJ17" s="34">
        <f t="shared" si="34"/>
        <v>0.004666524354</v>
      </c>
      <c r="AK17" s="29">
        <v>3.542</v>
      </c>
      <c r="AL17" s="1">
        <v>0.06</v>
      </c>
      <c r="AM17" s="29">
        <f t="shared" si="35"/>
        <v>0.6112365895</v>
      </c>
      <c r="AN17" s="29">
        <f t="shared" si="36"/>
        <v>0.01063641879</v>
      </c>
      <c r="AO17" s="30">
        <f t="shared" si="37"/>
        <v>-0.2076271743</v>
      </c>
      <c r="AP17" s="1"/>
      <c r="AQ17" s="29"/>
      <c r="AR17" s="29"/>
      <c r="AS17" s="1"/>
      <c r="AT17" s="1"/>
      <c r="AU17" s="1"/>
      <c r="AV17" s="1"/>
      <c r="AW17" s="1"/>
      <c r="AX17" s="1"/>
      <c r="AY17" s="1"/>
    </row>
    <row r="18">
      <c r="A18" s="1"/>
      <c r="B18" s="1"/>
      <c r="C18" s="1"/>
      <c r="D18" s="1"/>
      <c r="E18" s="1"/>
      <c r="F18" s="1"/>
      <c r="G18" s="1"/>
      <c r="H18" s="3"/>
      <c r="I18" s="9"/>
      <c r="J18" s="9"/>
      <c r="K18" s="29"/>
      <c r="L18" s="29"/>
      <c r="M18" s="1"/>
      <c r="N18" s="9"/>
      <c r="O18" s="9"/>
      <c r="P18" s="1"/>
      <c r="Q18" s="1"/>
      <c r="R18" s="4"/>
      <c r="S18" s="1"/>
      <c r="T18" s="9"/>
      <c r="U18" s="9"/>
      <c r="V18" s="1"/>
      <c r="W18" s="1"/>
      <c r="X18" s="1"/>
      <c r="Y18" s="1"/>
      <c r="Z18" s="1"/>
      <c r="AA18" s="3"/>
      <c r="AB18" s="1"/>
      <c r="AC18" s="1"/>
      <c r="AD18" s="1"/>
      <c r="AE18" s="1"/>
      <c r="AF18" s="29"/>
      <c r="AG18" s="29"/>
      <c r="AH18" s="1"/>
      <c r="AI18" s="29"/>
      <c r="AJ18" s="30"/>
      <c r="AK18" s="29"/>
      <c r="AL18" s="1"/>
      <c r="AM18" s="1"/>
      <c r="AN18" s="1"/>
      <c r="AO18" s="30"/>
      <c r="AP18" s="1"/>
      <c r="AQ18" s="29"/>
      <c r="AR18" s="29"/>
      <c r="AS18" s="1"/>
      <c r="AT18" s="1"/>
      <c r="AU18" s="1"/>
      <c r="AV18" s="1"/>
      <c r="AW18" s="1"/>
      <c r="AX18" s="1"/>
      <c r="AY18" s="1"/>
    </row>
    <row r="19">
      <c r="A19" s="1"/>
      <c r="B19" s="1"/>
      <c r="C19" s="1"/>
      <c r="D19" s="1"/>
      <c r="E19" s="1"/>
      <c r="F19" s="1"/>
      <c r="G19" s="1"/>
      <c r="H19" s="3" t="s">
        <v>64</v>
      </c>
      <c r="I19" s="9">
        <f>SQRT((3*$A$28)/(2*$C$9))*($A$34/$C$9)</f>
        <v>2.055824297</v>
      </c>
      <c r="J19" s="9">
        <f>SQRT((3*$C$9)/(2*$A$28))*($A$34/(2*$C$9^2))*$B$28+SQRT((3*$A$28)/(2*$C$9))*(3*$A$34)/(2*$C$9^2)*$D$9+SQRT((3*$A$28)/(2*$C$9))*(1/$C$9)*$B$34</f>
        <v>0.2205906038</v>
      </c>
      <c r="K19" s="29">
        <f>$C$22*(1+$A$28/(2*$C$9))</f>
        <v>0.7835367375</v>
      </c>
      <c r="L19" s="29">
        <f>(1+$A$28/(2*$C$9))*$D$22+($C$22/(2*$C$9))*$B$28+(($C$22*$A$28)/(2*$C$9^2))*$D$9</f>
        <v>0.007933237396</v>
      </c>
      <c r="M19" s="1">
        <f t="shared" ref="M19:M21" si="38">1+INT(I19/PI())</f>
        <v>1</v>
      </c>
      <c r="N19" s="9">
        <f>$A$28/$C$9</f>
        <v>0.1916932907</v>
      </c>
      <c r="O19" s="29">
        <f>$B$28/$C$9+($A$28/$C$9^2)*$D$9</f>
        <v>0.01754636671</v>
      </c>
      <c r="P19" s="1">
        <v>-1.0</v>
      </c>
      <c r="Q19" s="4">
        <f t="shared" ref="Q19:Q21" si="39">($C$9/$A$34)^2</f>
        <v>0.06803402778</v>
      </c>
      <c r="R19" s="4">
        <f t="shared" ref="R19:R21" si="40">((2*$C$9)/$A$34^2)*$D$9+((2*$C$9^3)/$A$34^3)*$B$34</f>
        <v>0.005793353227</v>
      </c>
      <c r="S19" s="1">
        <v>-1.0</v>
      </c>
      <c r="T19" s="9">
        <f>($A$34^2*$A$28)/($C$9^3)</f>
        <v>2.817609026</v>
      </c>
      <c r="U19" s="9">
        <f>((2*$A$34*$A$28)/$C$9^3)*$B$34+($A$34^2/$C$9^3)*$B$28+((3*$A$34^2*$A$28)/$C$9^4)*$D$9</f>
        <v>0.6046606973</v>
      </c>
      <c r="V19" s="1">
        <v>0.0</v>
      </c>
      <c r="W19" s="1"/>
      <c r="X19" s="1"/>
      <c r="Y19" s="1"/>
      <c r="Z19" s="1"/>
      <c r="AA19" s="3" t="s">
        <v>64</v>
      </c>
      <c r="AB19" s="1">
        <v>1.0</v>
      </c>
      <c r="AC19" s="1">
        <f t="shared" ref="AC19:AC21" si="41">AB19-M19</f>
        <v>0</v>
      </c>
      <c r="AD19" s="1">
        <v>1.0</v>
      </c>
      <c r="AE19" s="1">
        <f t="shared" ref="AE19:AE21" si="42">AD19-M19</f>
        <v>0</v>
      </c>
      <c r="AF19" s="29">
        <v>4.99</v>
      </c>
      <c r="AG19" s="29">
        <f t="shared" ref="AG19:AG21" si="43">$AS$6</f>
        <v>0.6472</v>
      </c>
      <c r="AH19" s="29">
        <f t="shared" ref="AH19:AH21" si="44">$X$6/AF19</f>
        <v>0.621242485</v>
      </c>
      <c r="AI19" s="29">
        <f t="shared" ref="AI19:AI21" si="45">$Y$6/AF19+($X$6/AF19^2)*AG19</f>
        <v>0.08077517761</v>
      </c>
      <c r="AJ19" s="30">
        <f t="shared" ref="AJ19:AJ21" si="46">(AH19-K19)/K19</f>
        <v>-0.2071303676</v>
      </c>
      <c r="AK19" s="29">
        <v>2.632</v>
      </c>
      <c r="AL19" s="1">
        <v>0.06</v>
      </c>
      <c r="AM19" s="29">
        <f t="shared" ref="AM19:AM21" si="47">$X$12/AK19</f>
        <v>0.8077507599</v>
      </c>
      <c r="AN19" s="29">
        <f t="shared" ref="AN19:AN21" si="48">$Y$12/AK19+($X$12/AK19^2)*AL19</f>
        <v>0.01879371033</v>
      </c>
      <c r="AO19" s="30">
        <f t="shared" ref="AO19:AO21" si="49">(AM19-K19)/K19</f>
        <v>0.03090349342</v>
      </c>
      <c r="AP19" s="1"/>
      <c r="AQ19" s="29"/>
      <c r="AR19" s="29"/>
      <c r="AS19" s="1"/>
      <c r="AT19" s="1"/>
      <c r="AU19" s="1"/>
      <c r="AV19" s="1"/>
      <c r="AW19" s="1"/>
      <c r="AX19" s="1"/>
      <c r="AY19" s="1"/>
    </row>
    <row r="20">
      <c r="A20" s="10" t="s">
        <v>65</v>
      </c>
      <c r="B20" s="1"/>
      <c r="C20" s="1"/>
      <c r="D20" s="1"/>
      <c r="E20" s="1"/>
      <c r="F20" s="1"/>
      <c r="G20" s="1"/>
      <c r="H20" s="3" t="s">
        <v>66</v>
      </c>
      <c r="I20" s="9">
        <f>SQRT((3*$C$28)/(2*$C$9))*($A$34/$C$9)</f>
        <v>2.907374602</v>
      </c>
      <c r="J20" s="9">
        <f>SQRT((3*$C$9)/(2*$C$28))*($A$34/(2*$C$9^2))*$D$28+SQRT((3*$C$28)/(2*$C$9))*(3*$A$34)/(2*$C$9^2)*$D$9+SQRT((3*$C$28)/(2*$C$9))*(1/$C$9)*$B$34</f>
        <v>0.2756200412</v>
      </c>
      <c r="K20" s="29">
        <f>$C$22*(1+$C$28/(2*$C$9))</f>
        <v>0.8520676474</v>
      </c>
      <c r="L20" s="29">
        <f>(1+$C$28/(2*$C$9))*$D$22+($C$22/(2*$C$9))*$D$28+(($C$22*$C$28)/(2*$C$9^2))*$D$9</f>
        <v>0.01092479013</v>
      </c>
      <c r="M20" s="1">
        <f t="shared" si="38"/>
        <v>1</v>
      </c>
      <c r="N20" s="9">
        <f>$C$28/$C$9</f>
        <v>0.3833865815</v>
      </c>
      <c r="O20" s="29">
        <f>$D$28/$C$9+($C$28/$C$9^2)*$D$9</f>
        <v>0.02550806888</v>
      </c>
      <c r="P20" s="1">
        <v>-1.0</v>
      </c>
      <c r="Q20" s="4">
        <f t="shared" si="39"/>
        <v>0.06803402778</v>
      </c>
      <c r="R20" s="4">
        <f t="shared" si="40"/>
        <v>0.005793353227</v>
      </c>
      <c r="S20" s="1">
        <v>-1.0</v>
      </c>
      <c r="T20" s="9">
        <f>($A$34^2*$C$28)/($C$9^3)</f>
        <v>5.635218052</v>
      </c>
      <c r="U20" s="9">
        <f>((2*$A$34*$C$28)/$C$9^3)*$B$34+($A$34^2/$C$9^3)*$D$28+((3*$A$34^2*$C$28)/$C$9^4)*$D$9</f>
        <v>1.068440943</v>
      </c>
      <c r="V20" s="1">
        <v>1.0</v>
      </c>
      <c r="W20" s="1"/>
      <c r="X20" s="1"/>
      <c r="Y20" s="1"/>
      <c r="Z20" s="1"/>
      <c r="AA20" s="3" t="s">
        <v>66</v>
      </c>
      <c r="AB20" s="1">
        <v>1.0</v>
      </c>
      <c r="AC20" s="1">
        <f t="shared" si="41"/>
        <v>0</v>
      </c>
      <c r="AD20" s="1">
        <v>1.0</v>
      </c>
      <c r="AE20" s="1">
        <f t="shared" si="42"/>
        <v>0</v>
      </c>
      <c r="AF20" s="29">
        <v>4.18</v>
      </c>
      <c r="AG20" s="29">
        <f t="shared" si="43"/>
        <v>0.6472</v>
      </c>
      <c r="AH20" s="9">
        <f t="shared" si="44"/>
        <v>0.7416267943</v>
      </c>
      <c r="AI20" s="9">
        <f t="shared" si="45"/>
        <v>0.1150671917</v>
      </c>
      <c r="AJ20" s="30">
        <f t="shared" si="46"/>
        <v>-0.1296151233</v>
      </c>
      <c r="AK20" s="29">
        <v>2.549</v>
      </c>
      <c r="AL20" s="1">
        <v>0.09</v>
      </c>
      <c r="AM20" s="29">
        <f t="shared" si="47"/>
        <v>0.8340525696</v>
      </c>
      <c r="AN20" s="29">
        <f t="shared" si="48"/>
        <v>0.02984100874</v>
      </c>
      <c r="AO20" s="30">
        <f t="shared" si="49"/>
        <v>-0.02114277882</v>
      </c>
      <c r="AP20" s="1"/>
      <c r="AQ20" s="29"/>
      <c r="AR20" s="29"/>
      <c r="AS20" s="1"/>
      <c r="AT20" s="1"/>
      <c r="AU20" s="1"/>
      <c r="AV20" s="1"/>
      <c r="AW20" s="1"/>
      <c r="AX20" s="1"/>
      <c r="AY20" s="1"/>
    </row>
    <row r="21" ht="15.75" customHeight="1">
      <c r="A21" s="3" t="s">
        <v>0</v>
      </c>
      <c r="B21" s="3" t="s">
        <v>19</v>
      </c>
      <c r="C21" s="3" t="s">
        <v>6</v>
      </c>
      <c r="D21" s="3" t="s">
        <v>19</v>
      </c>
      <c r="E21" s="3" t="s">
        <v>8</v>
      </c>
      <c r="F21" s="3" t="s">
        <v>19</v>
      </c>
      <c r="G21" s="1"/>
      <c r="H21" s="3" t="s">
        <v>67</v>
      </c>
      <c r="I21" s="9">
        <f>SQRT((3*$E$28)/(2*$C$9))*($A$34/$C$9)</f>
        <v>3.560792133</v>
      </c>
      <c r="J21" s="9">
        <f>SQRT((3*$C$9)/(2*$E$28))*($A$34/(2*$C$9^2))*$F$28+SQRT((3*$E$28)/(2*$C$9))*(3*$A$34)/(2*$C$9^2)*$D$9+SQRT((3*$E$28)/(2*$C$9))*(1/$C$9)*$B$34</f>
        <v>0.322727598</v>
      </c>
      <c r="K21" s="29">
        <f>$C$22*(1+$E$28/(2*$C$9))</f>
        <v>0.9205985574</v>
      </c>
      <c r="L21" s="29">
        <f>(1+$E$28/(2*$C$9))*$D$22+($C$22/(2*$C$9))*$F$28+(($C$22*$E$28)/(2*$C$9^2))*$D$9</f>
        <v>0.01391634286</v>
      </c>
      <c r="M21" s="1">
        <f t="shared" si="38"/>
        <v>2</v>
      </c>
      <c r="N21" s="9">
        <f>$E$28/$C$9</f>
        <v>0.5750798722</v>
      </c>
      <c r="O21" s="29">
        <f>$F$28/$C$9+($E$28/$C$9^2)*$D$9</f>
        <v>0.03346977105</v>
      </c>
      <c r="P21" s="1">
        <v>0.0</v>
      </c>
      <c r="Q21" s="4">
        <f t="shared" si="39"/>
        <v>0.06803402778</v>
      </c>
      <c r="R21" s="4">
        <f t="shared" si="40"/>
        <v>0.005793353227</v>
      </c>
      <c r="S21" s="1">
        <v>-1.0</v>
      </c>
      <c r="T21" s="9">
        <f>($A$34^2*$E$28)/($C$9^3)</f>
        <v>8.452827078</v>
      </c>
      <c r="U21" s="9">
        <f>((2*$A$34*$E$28)/$C$9^3)*$B$34+($A$34^2/$C$9^3)*$F$28+((3*$A$34^2*$E$28)/$C$9^4)*$D$9</f>
        <v>1.532221189</v>
      </c>
      <c r="V21" s="1">
        <v>1.0</v>
      </c>
      <c r="W21" s="1"/>
      <c r="X21" s="1"/>
      <c r="Y21" s="1"/>
      <c r="Z21" s="1"/>
      <c r="AA21" s="3" t="s">
        <v>67</v>
      </c>
      <c r="AB21" s="1">
        <v>1.0</v>
      </c>
      <c r="AC21" s="1">
        <f t="shared" si="41"/>
        <v>-1</v>
      </c>
      <c r="AD21" s="1">
        <v>2.0</v>
      </c>
      <c r="AE21" s="1">
        <f t="shared" si="42"/>
        <v>0</v>
      </c>
      <c r="AF21" s="29">
        <v>4.1</v>
      </c>
      <c r="AG21" s="29">
        <f t="shared" si="43"/>
        <v>0.6472</v>
      </c>
      <c r="AH21" s="9">
        <f t="shared" si="44"/>
        <v>0.756097561</v>
      </c>
      <c r="AI21" s="9">
        <f t="shared" si="45"/>
        <v>0.1195966686</v>
      </c>
      <c r="AJ21" s="30">
        <f t="shared" si="46"/>
        <v>-0.1786891747</v>
      </c>
      <c r="AK21" s="29">
        <v>2.603</v>
      </c>
      <c r="AL21" s="1">
        <v>0.06</v>
      </c>
      <c r="AM21" s="29">
        <f t="shared" si="47"/>
        <v>0.816749904</v>
      </c>
      <c r="AN21" s="29">
        <f t="shared" si="48"/>
        <v>0.0192105241</v>
      </c>
      <c r="AO21" s="30">
        <f t="shared" si="49"/>
        <v>-0.1128055792</v>
      </c>
      <c r="AP21" s="1"/>
      <c r="AQ21" s="29"/>
      <c r="AR21" s="29"/>
      <c r="AS21" s="1"/>
      <c r="AT21" s="1"/>
      <c r="AU21" s="1"/>
      <c r="AV21" s="1"/>
      <c r="AW21" s="1"/>
      <c r="AX21" s="1"/>
      <c r="AY21" s="1"/>
    </row>
    <row r="22" ht="15.75" customHeight="1">
      <c r="A22" s="4">
        <f>SQRT($A$4*A9)</f>
        <v>0.4277070649</v>
      </c>
      <c r="B22" s="4">
        <f>0.5*(1/SQRT($A$4*A9))*B9</f>
        <v>0.004286422844</v>
      </c>
      <c r="C22" s="1">
        <f>SQRT($A$4*C9)</f>
        <v>0.7150058275</v>
      </c>
      <c r="D22" s="4">
        <f>0.5*(1/SQRT($A$4*C9))*D9</f>
        <v>0.001515139166</v>
      </c>
      <c r="E22" s="4">
        <f>SQRT($A$4*E9)</f>
        <v>0.7836665958</v>
      </c>
      <c r="F22" s="4">
        <f>0.5*(1/SQRT($A$4*E9))*F9</f>
        <v>0.001382390597</v>
      </c>
      <c r="G22" s="1"/>
      <c r="H22" s="3"/>
      <c r="I22" s="9"/>
      <c r="J22" s="9"/>
      <c r="K22" s="29"/>
      <c r="L22" s="29"/>
      <c r="M22" s="1"/>
      <c r="N22" s="9"/>
      <c r="O22" s="9"/>
      <c r="P22" s="1"/>
      <c r="Q22" s="1"/>
      <c r="R22" s="4"/>
      <c r="S22" s="1"/>
      <c r="T22" s="9"/>
      <c r="U22" s="9"/>
      <c r="V22" s="1"/>
      <c r="W22" s="1"/>
      <c r="X22" s="1"/>
      <c r="Y22" s="1"/>
      <c r="Z22" s="1"/>
      <c r="AA22" s="3"/>
      <c r="AB22" s="1"/>
      <c r="AC22" s="1"/>
      <c r="AD22" s="1"/>
      <c r="AE22" s="1"/>
      <c r="AF22" s="29"/>
      <c r="AG22" s="29"/>
      <c r="AH22" s="29"/>
      <c r="AI22" s="29"/>
      <c r="AJ22" s="30"/>
      <c r="AK22" s="29"/>
      <c r="AL22" s="1"/>
      <c r="AM22" s="1"/>
      <c r="AN22" s="1"/>
      <c r="AO22" s="30"/>
      <c r="AP22" s="1"/>
      <c r="AQ22" s="29"/>
      <c r="AR22" s="29"/>
      <c r="AS22" s="1"/>
      <c r="AT22" s="1"/>
      <c r="AU22" s="1"/>
      <c r="AV22" s="1"/>
      <c r="AW22" s="1"/>
      <c r="AX22" s="1"/>
      <c r="AY22" s="1"/>
    </row>
    <row r="23" ht="15.75" customHeight="1">
      <c r="A23" s="1"/>
      <c r="B23" s="1"/>
      <c r="C23" s="1"/>
      <c r="D23" s="1"/>
      <c r="E23" s="1"/>
      <c r="F23" s="1"/>
      <c r="G23" s="1"/>
      <c r="H23" s="3" t="s">
        <v>68</v>
      </c>
      <c r="I23" s="9">
        <f>SQRT((3*$A$28)/(2*$C$9))*($C$34/$C$9)</f>
        <v>8.223297187</v>
      </c>
      <c r="J23" s="9">
        <f>SQRT((3*$C$9)/(2*$A$28))*($C$34/(2*$C$9^2))*$B$28+SQRT((3*$A$28)/(2*$C$9))*(3*$C$34)/(2*$C$9^2)*$D$9+SQRT((3*$A$28)/(2*$C$9))*(1/$C$9)*$D$34</f>
        <v>0.7590129576</v>
      </c>
      <c r="K23" s="29">
        <f>$C$22*(1+$A$28/(2*$C$9))</f>
        <v>0.7835367375</v>
      </c>
      <c r="L23" s="29">
        <f>(1+$A$28/(2*$C$9))*$D$22+($C$22/(2*$C$9))*$B$28+(($C$22*$A$28)/(2*$C$9^2))*$D$9</f>
        <v>0.007933237396</v>
      </c>
      <c r="M23" s="1">
        <f t="shared" ref="M23:M25" si="50">1+INT(I23/PI())</f>
        <v>3</v>
      </c>
      <c r="N23" s="9">
        <f>$A$28/$C$9</f>
        <v>0.1916932907</v>
      </c>
      <c r="O23" s="29">
        <f>$B$28/$C$9+($A$28/$C$9^2)*$D$9</f>
        <v>0.01754636671</v>
      </c>
      <c r="P23" s="1">
        <v>-1.0</v>
      </c>
      <c r="Q23" s="5">
        <f t="shared" ref="Q23:Q25" si="51">($C$9/$C$34)^2</f>
        <v>0.004252126736</v>
      </c>
      <c r="R23" s="5">
        <f t="shared" ref="R23:R25" si="52">((2*$C$9)/$C$34^2)*$D$9+((2*$C$9^3)/$C$34^3)*$D$34</f>
        <v>0.0003554299983</v>
      </c>
      <c r="S23" s="1">
        <v>-3.0</v>
      </c>
      <c r="T23" s="9">
        <f>($C$34^2*$A$28)/($C$9^3)</f>
        <v>45.08174441</v>
      </c>
      <c r="U23" s="9">
        <f>((2*$C$34*$A$28)/$C$9^3)*$D$34+($C$34^2/$C$9^3)*$B$28+((3*$C$34^2*$A$28)/$C$9^4)*$D$9</f>
        <v>8.322118825</v>
      </c>
      <c r="V23" s="1">
        <v>1.0</v>
      </c>
      <c r="W23" s="1"/>
      <c r="X23" s="1"/>
      <c r="Y23" s="1"/>
      <c r="Z23" s="1"/>
      <c r="AA23" s="3" t="s">
        <v>68</v>
      </c>
      <c r="AB23" s="1">
        <v>2.0</v>
      </c>
      <c r="AC23" s="1">
        <f t="shared" ref="AC23:AC25" si="53">AB23-M23</f>
        <v>-1</v>
      </c>
      <c r="AD23" s="1">
        <v>3.0</v>
      </c>
      <c r="AE23" s="1">
        <f t="shared" ref="AE23:AE25" si="54">AD23-M23</f>
        <v>0</v>
      </c>
      <c r="AF23" s="29">
        <v>4.89</v>
      </c>
      <c r="AG23" s="29">
        <f t="shared" ref="AG23:AG25" si="55">$AS$6</f>
        <v>0.6472</v>
      </c>
      <c r="AH23" s="29">
        <f t="shared" ref="AH23:AH25" si="56">$X$6/AF23</f>
        <v>0.6339468303</v>
      </c>
      <c r="AI23" s="29">
        <f t="shared" ref="AI23:AI25" si="57">$Y$6/AF23+($X$6/AF23^2)*AG23</f>
        <v>0.08410846392</v>
      </c>
      <c r="AJ23" s="30">
        <f t="shared" ref="AJ23:AJ25" si="58">(AH23-K23)/K23</f>
        <v>-0.1909162647</v>
      </c>
      <c r="AK23" s="29">
        <v>2.542</v>
      </c>
      <c r="AL23" s="1">
        <v>0.09</v>
      </c>
      <c r="AM23" s="29">
        <f t="shared" ref="AM23:AM25" si="59">$X$12/AK23</f>
        <v>0.8363493312</v>
      </c>
      <c r="AN23" s="29">
        <f t="shared" ref="AN23:AN25" si="60">$Y$12/AK23+($X$12/AK23^2)*AL23</f>
        <v>0.03000450032</v>
      </c>
      <c r="AO23" s="30">
        <f t="shared" ref="AO23:AO25" si="61">(AM23-K23)/K23</f>
        <v>0.06740283033</v>
      </c>
      <c r="AP23" s="1"/>
      <c r="AQ23" s="29"/>
      <c r="AR23" s="29"/>
      <c r="AS23" s="1"/>
      <c r="AT23" s="1"/>
      <c r="AU23" s="1"/>
      <c r="AV23" s="1"/>
      <c r="AW23" s="1"/>
      <c r="AX23" s="1"/>
      <c r="AY23" s="1"/>
    </row>
    <row r="24" ht="15.75" customHeight="1">
      <c r="A24" s="1"/>
      <c r="B24" s="1"/>
      <c r="C24" s="1"/>
      <c r="D24" s="1"/>
      <c r="E24" s="1"/>
      <c r="F24" s="1"/>
      <c r="G24" s="1"/>
      <c r="H24" s="3" t="s">
        <v>69</v>
      </c>
      <c r="I24" s="9">
        <f>SQRT((3*$C$28)/(2*$C$9))*($C$34/$C$9)</f>
        <v>11.62949841</v>
      </c>
      <c r="J24" s="9">
        <f>SQRT((3*$C$9)/(2*$C$28))*($C$34/(2*$C$9^2))*$D$28+SQRT((3*$C$28)/(2*$C$9))*(3*$C$34)/(2*$C$9^2)*$D$9+SQRT((3*$C$28)/(2*$C$9))*(1/$C$9)*$D$34</f>
        <v>0.9280376885</v>
      </c>
      <c r="K24" s="29">
        <f>$C$22*(1+$C$28/(2*$C$9))</f>
        <v>0.8520676474</v>
      </c>
      <c r="L24" s="29">
        <f>(1+$C$28/(2*$C$9))*$D$22+($C$22/(2*$C$9))*$D$28+(($C$22*$C$28)/(2*$C$9^2))*$D$9</f>
        <v>0.01092479013</v>
      </c>
      <c r="M24" s="1">
        <f t="shared" si="50"/>
        <v>4</v>
      </c>
      <c r="N24" s="9">
        <f>$C$28/$C$9</f>
        <v>0.3833865815</v>
      </c>
      <c r="O24" s="29">
        <f>$D$28/$C$9+($C$28/$C$9^2)*$D$9</f>
        <v>0.02550806888</v>
      </c>
      <c r="P24" s="1">
        <v>-1.0</v>
      </c>
      <c r="Q24" s="5">
        <f t="shared" si="51"/>
        <v>0.004252126736</v>
      </c>
      <c r="R24" s="5">
        <f t="shared" si="52"/>
        <v>0.0003554299983</v>
      </c>
      <c r="S24" s="1">
        <v>-3.0</v>
      </c>
      <c r="T24" s="9">
        <f>($C$34^2*$C$28)/($C$9^3)</f>
        <v>90.16348883</v>
      </c>
      <c r="U24" s="9">
        <f>((2*$C$34*$C$28)/$C$9^3)*$D$34+($C$34^2/$C$9^3)*$D$28+((3*$C$34^2*$C$28)/$C$9^4)*$D$9</f>
        <v>14.39015043</v>
      </c>
      <c r="V24" s="1">
        <v>2.0</v>
      </c>
      <c r="W24" s="1"/>
      <c r="X24" s="1"/>
      <c r="Y24" s="1"/>
      <c r="Z24" s="1"/>
      <c r="AA24" s="3" t="s">
        <v>69</v>
      </c>
      <c r="AB24" s="1">
        <v>3.0</v>
      </c>
      <c r="AC24" s="1">
        <f t="shared" si="53"/>
        <v>-1</v>
      </c>
      <c r="AD24" s="1">
        <v>4.0</v>
      </c>
      <c r="AE24" s="1">
        <f t="shared" si="54"/>
        <v>0</v>
      </c>
      <c r="AF24" s="29">
        <v>3.49</v>
      </c>
      <c r="AG24" s="29">
        <f t="shared" si="55"/>
        <v>0.6472</v>
      </c>
      <c r="AH24" s="9">
        <f t="shared" si="56"/>
        <v>0.888252149</v>
      </c>
      <c r="AI24" s="9">
        <f t="shared" si="57"/>
        <v>0.1650076765</v>
      </c>
      <c r="AJ24" s="30">
        <f t="shared" si="58"/>
        <v>0.04246670045</v>
      </c>
      <c r="AK24" s="29">
        <v>2.509</v>
      </c>
      <c r="AL24" s="1">
        <v>0.08</v>
      </c>
      <c r="AM24" s="29">
        <f t="shared" si="59"/>
        <v>0.8473495417</v>
      </c>
      <c r="AN24" s="29">
        <f t="shared" si="60"/>
        <v>0.02741648598</v>
      </c>
      <c r="AO24" s="30">
        <f t="shared" si="61"/>
        <v>-0.005537243212</v>
      </c>
      <c r="AP24" s="1"/>
      <c r="AQ24" s="29"/>
      <c r="AR24" s="29"/>
      <c r="AS24" s="1"/>
      <c r="AT24" s="1"/>
      <c r="AU24" s="1"/>
      <c r="AV24" s="1"/>
      <c r="AW24" s="1"/>
      <c r="AX24" s="1"/>
      <c r="AY24" s="1"/>
    </row>
    <row r="25" ht="15.75" customHeight="1">
      <c r="A25" s="1"/>
      <c r="B25" s="1"/>
      <c r="C25" s="1"/>
      <c r="D25" s="1"/>
      <c r="E25" s="1"/>
      <c r="F25" s="1"/>
      <c r="G25" s="1"/>
      <c r="H25" s="3" t="s">
        <v>70</v>
      </c>
      <c r="I25" s="9">
        <f>SQRT((3*$E$28)/(2*$C$9))*($C$34/$C$9)</f>
        <v>14.24316853</v>
      </c>
      <c r="J25" s="9">
        <f>SQRT((3*$C$9)/(2*$E$28))*($C$34/(2*$C$9^2))*$F$28+SQRT((3*$E$28)/(2*$C$9))*(3*$C$34)/(2*$C$9^2)*$D$9+SQRT((3*$E$28)/(2*$C$9))*(1/$C$9)*$D$34</f>
        <v>1.077262864</v>
      </c>
      <c r="K25" s="29">
        <f>$C$22*(1+$E$28/(2*$C$9))</f>
        <v>0.9205985574</v>
      </c>
      <c r="L25" s="29">
        <f>(1+$E$28/(2*$C$9))*$D$22+($C$22/(2*$C$9))*$F$28+(($C$22*$E$28)/(2*$C$9^2))*$D$9</f>
        <v>0.01391634286</v>
      </c>
      <c r="M25" s="1">
        <f t="shared" si="50"/>
        <v>5</v>
      </c>
      <c r="N25" s="9">
        <f>$E$28/$C$9</f>
        <v>0.5750798722</v>
      </c>
      <c r="O25" s="29">
        <f>$F$28/$C$9+($E$28/$C$9^2)*$D$9</f>
        <v>0.03346977105</v>
      </c>
      <c r="P25" s="1">
        <v>0.0</v>
      </c>
      <c r="Q25" s="5">
        <f t="shared" si="51"/>
        <v>0.004252126736</v>
      </c>
      <c r="R25" s="5">
        <f t="shared" si="52"/>
        <v>0.0003554299983</v>
      </c>
      <c r="S25" s="1">
        <v>-3.0</v>
      </c>
      <c r="T25" s="9">
        <f>($C$34^2*$E$28)/($C$9^3)</f>
        <v>135.2452332</v>
      </c>
      <c r="U25" s="9">
        <f>((2*$C$34*$E$28)/$C$9^3)*$D$34+($C$34^2/$C$9^3)*$F$28+((3*$C$34^2*$E$28)/$C$9^4)*$D$9</f>
        <v>20.45818203</v>
      </c>
      <c r="V25" s="1">
        <v>2.0</v>
      </c>
      <c r="W25" s="1"/>
      <c r="X25" s="1"/>
      <c r="Y25" s="1"/>
      <c r="Z25" s="1"/>
      <c r="AA25" s="3" t="s">
        <v>70</v>
      </c>
      <c r="AB25" s="1">
        <v>4.0</v>
      </c>
      <c r="AC25" s="1">
        <f t="shared" si="53"/>
        <v>-1</v>
      </c>
      <c r="AD25" s="1">
        <v>4.0</v>
      </c>
      <c r="AE25" s="1">
        <f t="shared" si="54"/>
        <v>-1</v>
      </c>
      <c r="AF25" s="29">
        <v>3.51</v>
      </c>
      <c r="AG25" s="29">
        <f t="shared" si="55"/>
        <v>0.6472</v>
      </c>
      <c r="AH25" s="9">
        <f t="shared" si="56"/>
        <v>0.8831908832</v>
      </c>
      <c r="AI25" s="9">
        <f t="shared" si="57"/>
        <v>0.1631342278</v>
      </c>
      <c r="AJ25" s="30">
        <f t="shared" si="58"/>
        <v>-0.0406340787</v>
      </c>
      <c r="AK25" s="29">
        <v>2.37</v>
      </c>
      <c r="AL25" s="1">
        <v>0.07</v>
      </c>
      <c r="AM25" s="29">
        <f t="shared" si="59"/>
        <v>0.8970464135</v>
      </c>
      <c r="AN25" s="29">
        <f t="shared" si="60"/>
        <v>0.02691698268</v>
      </c>
      <c r="AO25" s="30">
        <f t="shared" si="61"/>
        <v>-0.02558351166</v>
      </c>
      <c r="AP25" s="1"/>
      <c r="AQ25" s="29"/>
      <c r="AR25" s="29"/>
      <c r="AS25" s="1"/>
      <c r="AT25" s="1"/>
      <c r="AU25" s="1"/>
      <c r="AV25" s="1"/>
      <c r="AW25" s="1"/>
      <c r="AX25" s="1"/>
      <c r="AY25" s="1"/>
    </row>
    <row r="26" ht="15.75" customHeight="1">
      <c r="A26" s="10" t="s">
        <v>71</v>
      </c>
      <c r="B26" s="1"/>
      <c r="C26" s="1"/>
      <c r="D26" s="1"/>
      <c r="E26" s="1"/>
      <c r="F26" s="1"/>
      <c r="G26" s="1"/>
      <c r="H26" s="3"/>
      <c r="I26" s="9"/>
      <c r="J26" s="9"/>
      <c r="K26" s="29"/>
      <c r="L26" s="29"/>
      <c r="M26" s="1"/>
      <c r="N26" s="9"/>
      <c r="O26" s="29"/>
      <c r="P26" s="1"/>
      <c r="Q26" s="1"/>
      <c r="R26" s="4"/>
      <c r="S26" s="1"/>
      <c r="T26" s="9"/>
      <c r="U26" s="9"/>
      <c r="V26" s="1"/>
      <c r="W26" s="1"/>
      <c r="X26" s="1"/>
      <c r="Y26" s="1"/>
      <c r="Z26" s="1"/>
      <c r="AA26" s="3"/>
      <c r="AB26" s="1"/>
      <c r="AC26" s="1"/>
      <c r="AD26" s="1"/>
      <c r="AE26" s="1"/>
      <c r="AF26" s="29"/>
      <c r="AG26" s="29"/>
      <c r="AH26" s="1"/>
      <c r="AI26" s="29"/>
      <c r="AJ26" s="30"/>
      <c r="AK26" s="29"/>
      <c r="AL26" s="1"/>
      <c r="AM26" s="1"/>
      <c r="AN26" s="1"/>
      <c r="AO26" s="30"/>
      <c r="AP26" s="1"/>
      <c r="AQ26" s="29"/>
      <c r="AR26" s="29"/>
      <c r="AS26" s="1"/>
      <c r="AT26" s="1"/>
      <c r="AU26" s="1"/>
      <c r="AV26" s="1"/>
      <c r="AW26" s="1"/>
      <c r="AX26" s="1"/>
      <c r="AY26" s="1"/>
    </row>
    <row r="27" ht="15.75" customHeight="1">
      <c r="A27" s="3" t="s">
        <v>72</v>
      </c>
      <c r="B27" s="3" t="s">
        <v>19</v>
      </c>
      <c r="C27" s="3" t="s">
        <v>73</v>
      </c>
      <c r="D27" s="3" t="s">
        <v>19</v>
      </c>
      <c r="E27" s="3" t="s">
        <v>74</v>
      </c>
      <c r="F27" s="3" t="s">
        <v>19</v>
      </c>
      <c r="G27" s="1"/>
      <c r="H27" s="3" t="s">
        <v>75</v>
      </c>
      <c r="I27" s="9">
        <f>SQRT((3*$A$28)/(2*$C$9))*($E$34/$C$9)</f>
        <v>10.27912148</v>
      </c>
      <c r="J27" s="9">
        <f>SQRT((3*$C$9)/(2*$A$28))*($E$34/(2*$C$9^2))*$B$28+SQRT((3*$A$28)/(2*$C$9))*(3*$E$34)/(2*$C$9^2)*$D$9+SQRT((3*$A$28)/(2*$C$9))*(1/$C$9)*$F$34</f>
        <v>0.9384870755</v>
      </c>
      <c r="K27" s="29">
        <f>$C$22*(1+$A$28/(2*$C$9))</f>
        <v>0.7835367375</v>
      </c>
      <c r="L27" s="29">
        <f>(1+$A$28/(2*$C$9))*$D$22+($C$22/(2*$C$9))*$B$28+(($C$22*$A$28)/(2*$C$9^2))*$D$9</f>
        <v>0.007933237396</v>
      </c>
      <c r="M27" s="1">
        <f t="shared" ref="M27:M29" si="63">1+INT(I27/PI())</f>
        <v>4</v>
      </c>
      <c r="N27" s="9">
        <f>$A$28/$C$9</f>
        <v>0.1916932907</v>
      </c>
      <c r="O27" s="29">
        <f>$B$28/$C$9+($A$28/$C$9^2)*$D$9</f>
        <v>0.01754636671</v>
      </c>
      <c r="P27" s="1">
        <v>-1.0</v>
      </c>
      <c r="Q27" s="5">
        <f t="shared" ref="Q27:Q29" si="64">($C$9/$E$34)^2</f>
        <v>0.002721361111</v>
      </c>
      <c r="R27" s="5">
        <f t="shared" ref="R27:R29" si="65">((2*$C$9)/$E$34^2)*$D$9+((2*$C$9^3)/$E$34^3)*$F$34</f>
        <v>0.0002271912703</v>
      </c>
      <c r="S27" s="1">
        <v>-3.0</v>
      </c>
      <c r="T27" s="9">
        <f>($E$34^2*$A$28)/($C$9^3)</f>
        <v>70.44022565</v>
      </c>
      <c r="U27" s="9">
        <f>((2*$E$34*$A$28)/$C$9^3)*$F$34+($E$34^2/$C$9^3)*$B$28+((3*$E$34^2*$A$28)/$C$9^4)*$D$9</f>
        <v>12.86243021</v>
      </c>
      <c r="V27" s="1">
        <v>2.0</v>
      </c>
      <c r="W27" s="1"/>
      <c r="X27" s="1"/>
      <c r="Y27" s="1"/>
      <c r="Z27" s="1"/>
      <c r="AA27" s="3" t="s">
        <v>75</v>
      </c>
      <c r="AB27" s="1">
        <v>3.0</v>
      </c>
      <c r="AC27" s="1">
        <f t="shared" ref="AC27:AC29" si="66">AB27-M27</f>
        <v>-1</v>
      </c>
      <c r="AD27" s="1">
        <v>4.0</v>
      </c>
      <c r="AE27" s="1">
        <f t="shared" ref="AE27:AE29" si="67">AD27-M27</f>
        <v>0</v>
      </c>
      <c r="AF27" s="29">
        <v>4.29</v>
      </c>
      <c r="AG27" s="29">
        <f t="shared" ref="AG27:AG29" si="68">$AS$6</f>
        <v>0.6472</v>
      </c>
      <c r="AH27" s="9">
        <f t="shared" ref="AH27:AH29" si="69">$X$6/AF27</f>
        <v>0.7226107226</v>
      </c>
      <c r="AI27" s="9">
        <f t="shared" ref="AI27:AI29" si="70">$Y$6/AF27+($X$6/AF27^2)*AG27</f>
        <v>0.1092479393</v>
      </c>
      <c r="AJ27" s="30">
        <f t="shared" ref="AJ27:AJ29" si="71">(AH27-K27)/K27</f>
        <v>-0.07775770036</v>
      </c>
      <c r="AK27" s="29">
        <v>2.576</v>
      </c>
      <c r="AL27" s="1">
        <v>0.08</v>
      </c>
      <c r="AM27" s="29">
        <f t="shared" ref="AM27:AM29" si="72">$X$13/AK27</f>
        <v>0.8404503106</v>
      </c>
      <c r="AN27" s="29">
        <f t="shared" ref="AN27:AN29" si="73">$Y$13/AK27+($X$13/AK27^2)*AL27</f>
        <v>0.02648914008</v>
      </c>
      <c r="AO27" s="30">
        <f t="shared" ref="AO27:AO29" si="74">(AM27-K27)/K27</f>
        <v>0.07263676401</v>
      </c>
      <c r="AP27" s="1"/>
      <c r="AQ27" s="29"/>
      <c r="AR27" s="29"/>
      <c r="AS27" s="1"/>
      <c r="AT27" s="1"/>
      <c r="AU27" s="1"/>
      <c r="AV27" s="1"/>
      <c r="AW27" s="1"/>
      <c r="AX27" s="1"/>
      <c r="AY27" s="1"/>
    </row>
    <row r="28" ht="15.75" customHeight="1">
      <c r="A28" s="5">
        <f t="shared" ref="A28:F28" si="62">A12/2</f>
        <v>0.01</v>
      </c>
      <c r="B28" s="1">
        <f t="shared" si="62"/>
        <v>0.0005</v>
      </c>
      <c r="C28" s="5">
        <f t="shared" si="62"/>
        <v>0.02</v>
      </c>
      <c r="D28" s="1">
        <f t="shared" si="62"/>
        <v>0.0005</v>
      </c>
      <c r="E28" s="5">
        <f t="shared" si="62"/>
        <v>0.03</v>
      </c>
      <c r="F28" s="1">
        <f t="shared" si="62"/>
        <v>0.0005</v>
      </c>
      <c r="G28" s="1"/>
      <c r="H28" s="3" t="s">
        <v>76</v>
      </c>
      <c r="I28" s="9">
        <f>SQRT((3*$C$28)/(2*$C$9))*($E$34/$C$9)</f>
        <v>14.53687301</v>
      </c>
      <c r="J28" s="9">
        <f>SQRT((3*$C$9)/(2*$C$28))*($E$34/(2*$C$9^2))*$D$28+SQRT((3*$C$28)/(2*$C$9))*(3*$E$34)/(2*$C$9^2)*$D$9+SQRT((3*$C$28)/(2*$C$9))*(1/$C$9)*$F$34</f>
        <v>1.145510238</v>
      </c>
      <c r="K28" s="29">
        <f>$C$22*(1+$C$28/(2*$C$9))</f>
        <v>0.8520676474</v>
      </c>
      <c r="L28" s="29">
        <f>(1+$C$28/(2*$C$9))*$D$22+($C$22/(2*$C$9))*$D$28+(($C$22*$C$28)/(2*$C$9^2))*$D$9</f>
        <v>0.01092479013</v>
      </c>
      <c r="M28" s="1">
        <f t="shared" si="63"/>
        <v>5</v>
      </c>
      <c r="N28" s="9">
        <f>$C$28/$C$9</f>
        <v>0.3833865815</v>
      </c>
      <c r="O28" s="29">
        <f>$D$28/$C$9+($C$28/$C$9^2)*$D$9</f>
        <v>0.02550806888</v>
      </c>
      <c r="P28" s="1">
        <v>-1.0</v>
      </c>
      <c r="Q28" s="5">
        <f t="shared" si="64"/>
        <v>0.002721361111</v>
      </c>
      <c r="R28" s="5">
        <f t="shared" si="65"/>
        <v>0.0002271912703</v>
      </c>
      <c r="S28" s="1">
        <v>-3.0</v>
      </c>
      <c r="T28" s="9">
        <f>($E$34^2*$C$28)/($C$9^3)</f>
        <v>140.8804513</v>
      </c>
      <c r="U28" s="9">
        <f>((2*$E$34*$C$28)/$C$9^3)*$F$34+($E$34^2/$C$9^3)*$D$28+((3*$E$34^2*$C$28)/$C$9^4)*$D$9</f>
        <v>22.20284914</v>
      </c>
      <c r="V28" s="1">
        <v>2.0</v>
      </c>
      <c r="W28" s="1"/>
      <c r="X28" s="1"/>
      <c r="Y28" s="1"/>
      <c r="Z28" s="1"/>
      <c r="AA28" s="3" t="s">
        <v>76</v>
      </c>
      <c r="AB28" s="1">
        <v>4.0</v>
      </c>
      <c r="AC28" s="1">
        <f t="shared" si="66"/>
        <v>-1</v>
      </c>
      <c r="AD28" s="1">
        <v>6.0</v>
      </c>
      <c r="AE28" s="1">
        <f t="shared" si="67"/>
        <v>1</v>
      </c>
      <c r="AF28" s="29">
        <v>3.81</v>
      </c>
      <c r="AG28" s="29">
        <f t="shared" si="68"/>
        <v>0.6472</v>
      </c>
      <c r="AH28" s="9">
        <f t="shared" si="69"/>
        <v>0.813648294</v>
      </c>
      <c r="AI28" s="9">
        <f t="shared" si="70"/>
        <v>0.1384758992</v>
      </c>
      <c r="AJ28" s="30">
        <f t="shared" si="71"/>
        <v>-0.04508955785</v>
      </c>
      <c r="AK28" s="29">
        <v>2.441</v>
      </c>
      <c r="AL28" s="1">
        <v>0.08</v>
      </c>
      <c r="AM28" s="29">
        <f t="shared" si="72"/>
        <v>0.8869315854</v>
      </c>
      <c r="AN28" s="29">
        <f t="shared" si="73"/>
        <v>0.02947747924</v>
      </c>
      <c r="AO28" s="30">
        <f t="shared" si="74"/>
        <v>0.04091686625</v>
      </c>
      <c r="AP28" s="1"/>
      <c r="AQ28" s="29"/>
      <c r="AR28" s="29"/>
      <c r="AS28" s="1"/>
      <c r="AT28" s="1"/>
      <c r="AU28" s="1"/>
      <c r="AV28" s="1"/>
      <c r="AW28" s="1"/>
      <c r="AX28" s="1"/>
      <c r="AY28" s="1"/>
    </row>
    <row r="29" ht="15.75" customHeight="1">
      <c r="A29" s="1"/>
      <c r="B29" s="1"/>
      <c r="C29" s="1"/>
      <c r="D29" s="1"/>
      <c r="E29" s="1"/>
      <c r="F29" s="1"/>
      <c r="G29" s="1"/>
      <c r="H29" s="3" t="s">
        <v>77</v>
      </c>
      <c r="I29" s="9">
        <f>SQRT((3*$E$28)/(2*$C$9))*($E$34/$C$9)</f>
        <v>17.80396067</v>
      </c>
      <c r="J29" s="9">
        <f>SQRT((3*$C$9)/(2*$E$28))*($E$34/(2*$C$9^2))*$F$28+SQRT((3*$E$28)/(2*$C$9))*(3*$E$34)/(2*$C$9^2)*$D$9+SQRT((3*$E$28)/(2*$C$9))*(1/$C$9)*$F$34</f>
        <v>1.328774619</v>
      </c>
      <c r="K29" s="29">
        <f>$C$22*(1+$E$28/(2*$C$9))</f>
        <v>0.9205985574</v>
      </c>
      <c r="L29" s="29">
        <f>(1+$E$28/(2*$C$9))*$D$22+($C$22/(2*$C$9))*$F$28+(($C$22*$E$28)/(2*$C$9^2))*$D$9</f>
        <v>0.01391634286</v>
      </c>
      <c r="M29" s="1">
        <f t="shared" si="63"/>
        <v>6</v>
      </c>
      <c r="N29" s="9">
        <f>$E$28/$C$9</f>
        <v>0.5750798722</v>
      </c>
      <c r="O29" s="29">
        <f>$F$28/$C$9+($E$28/$C$9^2)*$D$9</f>
        <v>0.03346977105</v>
      </c>
      <c r="P29" s="1">
        <v>0.0</v>
      </c>
      <c r="Q29" s="5">
        <f t="shared" si="64"/>
        <v>0.002721361111</v>
      </c>
      <c r="R29" s="5">
        <f t="shared" si="65"/>
        <v>0.0002271912703</v>
      </c>
      <c r="S29" s="1">
        <v>-3.0</v>
      </c>
      <c r="T29" s="9">
        <f>($E$34^2*$E$28)/($C$9^3)</f>
        <v>211.3206769</v>
      </c>
      <c r="U29" s="9">
        <f>((2*$E$34*$E$28)/$C$9^3)*$F$34+($E$34^2/$C$9^3)*$F$28+((3*$E$34^2*$E$28)/$C$9^4)*$D$9</f>
        <v>31.54326807</v>
      </c>
      <c r="V29" s="1">
        <v>2.0</v>
      </c>
      <c r="W29" s="1"/>
      <c r="X29" s="1"/>
      <c r="Y29" s="1"/>
      <c r="Z29" s="1"/>
      <c r="AA29" s="3" t="s">
        <v>77</v>
      </c>
      <c r="AB29" s="1">
        <v>5.0</v>
      </c>
      <c r="AC29" s="1">
        <f t="shared" si="66"/>
        <v>-1</v>
      </c>
      <c r="AD29" s="1">
        <v>5.0</v>
      </c>
      <c r="AE29" s="1">
        <f t="shared" si="67"/>
        <v>-1</v>
      </c>
      <c r="AF29" s="29">
        <v>3.5</v>
      </c>
      <c r="AG29" s="29">
        <f t="shared" si="68"/>
        <v>0.6472</v>
      </c>
      <c r="AH29" s="9">
        <f t="shared" si="69"/>
        <v>0.8857142857</v>
      </c>
      <c r="AI29" s="9">
        <f t="shared" si="70"/>
        <v>0.1640669388</v>
      </c>
      <c r="AJ29" s="30">
        <f t="shared" si="71"/>
        <v>-0.03789303322</v>
      </c>
      <c r="AK29" s="29">
        <v>2.228</v>
      </c>
      <c r="AL29" s="1">
        <v>0.06</v>
      </c>
      <c r="AM29" s="29">
        <f t="shared" si="72"/>
        <v>0.9717235189</v>
      </c>
      <c r="AN29" s="29">
        <f t="shared" si="73"/>
        <v>0.02661732995</v>
      </c>
      <c r="AO29" s="30">
        <f t="shared" si="74"/>
        <v>0.05553447918</v>
      </c>
      <c r="AP29" s="1"/>
      <c r="AQ29" s="29"/>
      <c r="AR29" s="29"/>
      <c r="AS29" s="1"/>
      <c r="AT29" s="1"/>
      <c r="AU29" s="1"/>
      <c r="AV29" s="1"/>
      <c r="AW29" s="1"/>
      <c r="AX29" s="1"/>
      <c r="AY29" s="1"/>
    </row>
    <row r="30" ht="18.0" customHeight="1">
      <c r="A30" s="1"/>
      <c r="B30" s="1"/>
      <c r="C30" s="1"/>
      <c r="D30" s="1"/>
      <c r="E30" s="1"/>
      <c r="F30" s="1"/>
      <c r="G30" s="1"/>
      <c r="H30" s="3"/>
      <c r="I30" s="9"/>
      <c r="J30" s="9"/>
      <c r="K30" s="29"/>
      <c r="L30" s="29"/>
      <c r="M30" s="1"/>
      <c r="N30" s="9"/>
      <c r="O30" s="29"/>
      <c r="P30" s="1"/>
      <c r="Q30" s="1"/>
      <c r="R30" s="4"/>
      <c r="S30" s="1"/>
      <c r="T30" s="9"/>
      <c r="U30" s="9"/>
      <c r="V30" s="1"/>
      <c r="W30" s="1"/>
      <c r="X30" s="1"/>
      <c r="Y30" s="1"/>
      <c r="Z30" s="1"/>
      <c r="AA30" s="3"/>
      <c r="AB30" s="1"/>
      <c r="AC30" s="1"/>
      <c r="AD30" s="1"/>
      <c r="AE30" s="1"/>
      <c r="AF30" s="29"/>
      <c r="AG30" s="29"/>
      <c r="AH30" s="1"/>
      <c r="AI30" s="29"/>
      <c r="AJ30" s="30"/>
      <c r="AK30" s="29"/>
      <c r="AL30" s="1"/>
      <c r="AM30" s="1"/>
      <c r="AN30" s="1"/>
      <c r="AO30" s="30"/>
      <c r="AP30" s="1"/>
      <c r="AQ30" s="29"/>
      <c r="AR30" s="29"/>
      <c r="AS30" s="1"/>
      <c r="AT30" s="1"/>
      <c r="AU30" s="1"/>
      <c r="AV30" s="1"/>
      <c r="AW30" s="1"/>
      <c r="AX30" s="1"/>
      <c r="AY30" s="1"/>
    </row>
    <row r="31" ht="14.25" customHeight="1">
      <c r="A31" s="1"/>
      <c r="B31" s="1"/>
      <c r="C31" s="1"/>
      <c r="D31" s="1"/>
      <c r="E31" s="1"/>
      <c r="F31" s="1"/>
      <c r="G31" s="1"/>
      <c r="H31" s="3" t="s">
        <v>78</v>
      </c>
      <c r="I31" s="9">
        <f>SQRT((3*$A$28)/(2*$E$9))*($A$34/$E$9)</f>
        <v>1.561423579</v>
      </c>
      <c r="J31" s="9">
        <f>SQRT((3*$E$9)/(2*$A$28))*($A$34/(2*$E$9^2))*$B$28+SQRT((3*$A$28)/(2*$E$9))*(3*$A$34)/(2*$E$9^2)*$F$9+SQRT((3*$A$28)/(2*$E$9))*(1/$E$9)*$B$34</f>
        <v>0.1512421456</v>
      </c>
      <c r="K31" s="29">
        <f>$E$22*(1+$A$28/(2*$E$9))</f>
        <v>0.8461931859</v>
      </c>
      <c r="L31" s="29">
        <f>(1+$A$28/(2*$E$9))*$F$22+($E$22/(2*$E$9))*$B$28+(($E$22*$A$28)/(2*$E$9^2))*$F$9</f>
        <v>0.006780840817</v>
      </c>
      <c r="M31" s="1">
        <f t="shared" ref="M31:M33" si="75">1+INT(I31/PI())</f>
        <v>1</v>
      </c>
      <c r="N31" s="9">
        <f>$A$28/$E$9</f>
        <v>0.1595744681</v>
      </c>
      <c r="O31" s="29">
        <f>$B$28/$E$9+($A$28/$E$9^2)*$F$9</f>
        <v>0.01349592576</v>
      </c>
      <c r="P31" s="1">
        <v>-1.0</v>
      </c>
      <c r="Q31" s="4">
        <f t="shared" ref="Q31:Q33" si="76">($E$9/$A$34)^2</f>
        <v>0.09817777778</v>
      </c>
      <c r="R31" s="4">
        <f t="shared" ref="R31:R33" si="77">((2*$E$9)/$A$34^2)*$F$9+((2*$E$9^3)/$A$34^3)*$B$34</f>
        <v>0.007034987852</v>
      </c>
      <c r="S31" s="1">
        <v>-1.0</v>
      </c>
      <c r="T31" s="9">
        <f>($A$34^2*$A$28)/($E$9^3)</f>
        <v>1.625362396</v>
      </c>
      <c r="U31" s="9">
        <f>((2*$A$34*$A$28)/$E$9^3)*$B$34+($A$34^2/$E$9^3)*$B$28+((3*$A$34^2*$A$28)/$E$9^4)*$F$9</f>
        <v>0.3148707364</v>
      </c>
      <c r="V31" s="1">
        <v>0.0</v>
      </c>
      <c r="W31" s="1"/>
      <c r="X31" s="1"/>
      <c r="Y31" s="1"/>
      <c r="Z31" s="1"/>
      <c r="AA31" s="3" t="s">
        <v>78</v>
      </c>
      <c r="AB31" s="1">
        <v>1.0</v>
      </c>
      <c r="AC31" s="1">
        <f t="shared" ref="AC31:AC33" si="78">AB31-M31</f>
        <v>0</v>
      </c>
      <c r="AD31" s="1">
        <v>1.0</v>
      </c>
      <c r="AE31" s="1">
        <f t="shared" ref="AE31:AE33" si="79">AD31-M31</f>
        <v>0</v>
      </c>
      <c r="AF31" s="29">
        <v>4.18</v>
      </c>
      <c r="AG31" s="29">
        <f t="shared" ref="AG31:AG33" si="80">$AS$6</f>
        <v>0.6472</v>
      </c>
      <c r="AH31" s="9">
        <f t="shared" ref="AH31:AH33" si="81">$X$6/AF31</f>
        <v>0.7416267943</v>
      </c>
      <c r="AI31" s="9">
        <f t="shared" ref="AI31:AI33" si="82">$Y$6/AF31+($X$6/AF31^2)*AG31</f>
        <v>0.1150671917</v>
      </c>
      <c r="AJ31" s="30">
        <f t="shared" ref="AJ31:AJ33" si="83">(AH31-K31)/K31</f>
        <v>-0.1235727176</v>
      </c>
      <c r="AK31" s="29">
        <v>2.414</v>
      </c>
      <c r="AL31" s="1">
        <v>0.06</v>
      </c>
      <c r="AM31" s="29">
        <f t="shared" ref="AM31:AM33" si="84">$X$12/AK31</f>
        <v>0.8806959403</v>
      </c>
      <c r="AN31" s="29">
        <f t="shared" ref="AN31:AN33" si="85">$Y$12/AK31+($X$12/AK31^2)*AL31</f>
        <v>0.02230395875</v>
      </c>
      <c r="AO31" s="30">
        <f t="shared" ref="AO31:AO33" si="86">(AM31-K31)/K31</f>
        <v>0.04077408689</v>
      </c>
      <c r="AP31" s="1"/>
      <c r="AQ31" s="29"/>
      <c r="AR31" s="29"/>
      <c r="AS31" s="1"/>
      <c r="AT31" s="1"/>
      <c r="AU31" s="1"/>
      <c r="AV31" s="1"/>
      <c r="AW31" s="1"/>
      <c r="AX31" s="1"/>
      <c r="AY31" s="1"/>
    </row>
    <row r="32" ht="15.75" customHeight="1">
      <c r="A32" s="10" t="s">
        <v>79</v>
      </c>
      <c r="B32" s="1"/>
      <c r="C32" s="1"/>
      <c r="D32" s="1"/>
      <c r="E32" s="1"/>
      <c r="F32" s="1"/>
      <c r="G32" s="1"/>
      <c r="H32" s="3" t="s">
        <v>80</v>
      </c>
      <c r="I32" s="9">
        <f>SQRT((3*$C$28)/(2*$E$9))*($A$34/$E$9)</f>
        <v>2.208186402</v>
      </c>
      <c r="J32" s="9">
        <f>SQRT((3*$E$9)/(2*$C$28))*($A$34/(2*$E$9^2))*$D$28+SQRT((3*$C$28)/(2*$E$9))*(3*$A$34)/(2*$E$9^2)*$F$9+SQRT((3*$C$28)/(2*$E$9))*(1/$E$9)*$B$34</f>
        <v>0.1862863635</v>
      </c>
      <c r="K32" s="29">
        <f>$E$22*(1+$C$28/(2*$E$9))</f>
        <v>0.908719776</v>
      </c>
      <c r="L32" s="29">
        <f>(1+$C$28/(2*$E$9))*$F$22+($E$22/(2*$E$9))*$D$28+(($E$22*$C$28)/(2*$E$9^2))*$F$9</f>
        <v>0.009052961533</v>
      </c>
      <c r="M32" s="1">
        <f t="shared" si="75"/>
        <v>1</v>
      </c>
      <c r="N32" s="9">
        <f>$C$28/$E$9</f>
        <v>0.3191489362</v>
      </c>
      <c r="O32" s="29">
        <f>$D$28/$E$9+($C$28/$E$9^2)*$F$9</f>
        <v>0.01901312811</v>
      </c>
      <c r="P32" s="1">
        <v>-1.0</v>
      </c>
      <c r="Q32" s="4">
        <f t="shared" si="76"/>
        <v>0.09817777778</v>
      </c>
      <c r="R32" s="4">
        <f t="shared" si="77"/>
        <v>0.007034987852</v>
      </c>
      <c r="S32" s="1">
        <v>-1.0</v>
      </c>
      <c r="T32" s="9">
        <f>($A$34^2*$C$28)/($E$9^3)</f>
        <v>3.250724791</v>
      </c>
      <c r="U32" s="9">
        <f>((2*$A$34*$C$28)/$E$9^3)*$B$34+($A$34^2/$E$9^3)*$D$28+((3*$A$34^2*$C$28)/$E$9^4)*$F$9</f>
        <v>0.5484733531</v>
      </c>
      <c r="V32" s="1">
        <v>0.0</v>
      </c>
      <c r="W32" s="1"/>
      <c r="X32" s="1"/>
      <c r="Y32" s="1"/>
      <c r="Z32" s="1"/>
      <c r="AA32" s="3" t="s">
        <v>80</v>
      </c>
      <c r="AB32" s="1">
        <v>2.0</v>
      </c>
      <c r="AC32" s="1">
        <f t="shared" si="78"/>
        <v>1</v>
      </c>
      <c r="AD32" s="1">
        <v>1.0</v>
      </c>
      <c r="AE32" s="1">
        <f t="shared" si="79"/>
        <v>0</v>
      </c>
      <c r="AF32" s="29">
        <v>3.58</v>
      </c>
      <c r="AG32" s="29">
        <f t="shared" si="80"/>
        <v>0.6472</v>
      </c>
      <c r="AH32" s="9">
        <f t="shared" si="81"/>
        <v>0.8659217877</v>
      </c>
      <c r="AI32" s="9">
        <f t="shared" si="82"/>
        <v>0.1568225087</v>
      </c>
      <c r="AJ32" s="30">
        <f t="shared" si="83"/>
        <v>-0.04709701426</v>
      </c>
      <c r="AK32" s="9">
        <v>2.264</v>
      </c>
      <c r="AL32" s="9">
        <v>0.12</v>
      </c>
      <c r="AM32" s="29">
        <f t="shared" si="84"/>
        <v>0.9390459364</v>
      </c>
      <c r="AN32" s="29">
        <f t="shared" si="85"/>
        <v>0.05021444893</v>
      </c>
      <c r="AO32" s="30">
        <f t="shared" si="86"/>
        <v>0.03337240065</v>
      </c>
      <c r="AP32" s="1"/>
      <c r="AQ32" s="29"/>
      <c r="AR32" s="29"/>
      <c r="AS32" s="1"/>
      <c r="AT32" s="1"/>
      <c r="AU32" s="1"/>
      <c r="AV32" s="1"/>
      <c r="AW32" s="1"/>
      <c r="AX32" s="1"/>
      <c r="AY32" s="1"/>
    </row>
    <row r="33" ht="15.75" customHeight="1">
      <c r="A33" s="3" t="s">
        <v>81</v>
      </c>
      <c r="B33" s="3" t="s">
        <v>19</v>
      </c>
      <c r="C33" s="3" t="s">
        <v>82</v>
      </c>
      <c r="D33" s="3" t="s">
        <v>19</v>
      </c>
      <c r="E33" s="3" t="s">
        <v>83</v>
      </c>
      <c r="F33" s="3" t="s">
        <v>19</v>
      </c>
      <c r="G33" s="1"/>
      <c r="H33" s="3" t="s">
        <v>84</v>
      </c>
      <c r="I33" s="9">
        <f>SQRT((3*$E$28)/(2*$E$9))*($A$34/$E$9)</f>
        <v>2.704464971</v>
      </c>
      <c r="J33" s="9">
        <f>SQRT((3*$E$9)/(2*$E$28))*($A$34/(2*$E$9^2))*$F$28+SQRT((3*$E$28)/(2*$E$9))*(3*$A$34)/(2*$E$9^2)*$F$9+SQRT((3*$E$28)/(2*$E$9))*(1/$E$9)*$B$34</f>
        <v>0.2168846643</v>
      </c>
      <c r="K33" s="29">
        <f>$E$22*(1+$E$28/(2*$E$9))</f>
        <v>0.971246366</v>
      </c>
      <c r="L33" s="29">
        <f>(1+$E$28/(2*$E$9))*$F$22+($E$22/(2*$E$9))*$F$28+(($E$22*$E$28)/(2*$E$9^2))*$F$9</f>
        <v>0.01132508225</v>
      </c>
      <c r="M33" s="1">
        <f t="shared" si="75"/>
        <v>1</v>
      </c>
      <c r="N33" s="9">
        <f>$E$28/$E$9</f>
        <v>0.4787234043</v>
      </c>
      <c r="O33" s="29">
        <f>$F$28/$E$9+($E$28/$E$9^2)*$F$9</f>
        <v>0.02453033047</v>
      </c>
      <c r="P33" s="1">
        <v>-1.0</v>
      </c>
      <c r="Q33" s="4">
        <f t="shared" si="76"/>
        <v>0.09817777778</v>
      </c>
      <c r="R33" s="4">
        <f t="shared" si="77"/>
        <v>0.007034987852</v>
      </c>
      <c r="S33" s="1">
        <v>-1.0</v>
      </c>
      <c r="T33" s="9">
        <f>($A$34^2*$E$28)/($E$9^3)</f>
        <v>4.876087187</v>
      </c>
      <c r="U33" s="9">
        <f>((2*$A$34*$E$28)/$E$9^3)*$B$34+($A$34^2/$E$9^3)*$F$28+((3*$A$34^2*$E$28)/$E$9^4)*$F$9</f>
        <v>0.7820759697</v>
      </c>
      <c r="V33" s="1">
        <v>0.0</v>
      </c>
      <c r="W33" s="1"/>
      <c r="X33" s="1"/>
      <c r="Y33" s="1"/>
      <c r="Z33" s="1"/>
      <c r="AA33" s="3" t="s">
        <v>84</v>
      </c>
      <c r="AB33" s="1">
        <v>1.0</v>
      </c>
      <c r="AC33" s="1">
        <f t="shared" si="78"/>
        <v>0</v>
      </c>
      <c r="AD33" s="1">
        <v>1.0</v>
      </c>
      <c r="AE33" s="1">
        <f t="shared" si="79"/>
        <v>0</v>
      </c>
      <c r="AF33" s="29">
        <v>3.51</v>
      </c>
      <c r="AG33" s="29">
        <f t="shared" si="80"/>
        <v>0.6472</v>
      </c>
      <c r="AH33" s="9">
        <f t="shared" si="81"/>
        <v>0.8831908832</v>
      </c>
      <c r="AI33" s="9">
        <f t="shared" si="82"/>
        <v>0.1631342278</v>
      </c>
      <c r="AJ33" s="30">
        <f t="shared" si="83"/>
        <v>-0.09066235502</v>
      </c>
      <c r="AK33" s="29">
        <v>2.52</v>
      </c>
      <c r="AL33" s="1">
        <v>0.06</v>
      </c>
      <c r="AM33" s="29">
        <f t="shared" si="84"/>
        <v>0.8436507937</v>
      </c>
      <c r="AN33" s="29">
        <f t="shared" si="85"/>
        <v>0.02048374906</v>
      </c>
      <c r="AO33" s="30">
        <f t="shared" si="86"/>
        <v>-0.1313730242</v>
      </c>
      <c r="AP33" s="1"/>
      <c r="AQ33" s="29"/>
      <c r="AR33" s="29"/>
      <c r="AS33" s="1"/>
      <c r="AT33" s="1"/>
      <c r="AU33" s="1"/>
      <c r="AV33" s="1"/>
      <c r="AW33" s="1"/>
      <c r="AX33" s="1"/>
      <c r="AY33" s="1"/>
    </row>
    <row r="34" ht="15.75" customHeight="1">
      <c r="A34" s="4">
        <f t="shared" ref="A34:F34" si="87">2*A15</f>
        <v>0.2</v>
      </c>
      <c r="B34" s="1">
        <f t="shared" si="87"/>
        <v>0.004</v>
      </c>
      <c r="C34" s="4">
        <f t="shared" si="87"/>
        <v>0.8</v>
      </c>
      <c r="D34" s="1">
        <f t="shared" si="87"/>
        <v>0.004</v>
      </c>
      <c r="E34" s="4">
        <f t="shared" si="87"/>
        <v>1</v>
      </c>
      <c r="F34" s="1">
        <f t="shared" si="87"/>
        <v>0.004</v>
      </c>
      <c r="G34" s="1"/>
      <c r="H34" s="3"/>
      <c r="I34" s="9"/>
      <c r="J34" s="9"/>
      <c r="K34" s="29"/>
      <c r="L34" s="29"/>
      <c r="M34" s="1"/>
      <c r="N34" s="9"/>
      <c r="O34" s="29"/>
      <c r="P34" s="1"/>
      <c r="Q34" s="1"/>
      <c r="R34" s="4"/>
      <c r="S34" s="1"/>
      <c r="T34" s="9"/>
      <c r="U34" s="9"/>
      <c r="V34" s="1"/>
      <c r="W34" s="1"/>
      <c r="X34" s="1"/>
      <c r="Y34" s="1"/>
      <c r="Z34" s="1"/>
      <c r="AA34" s="3"/>
      <c r="AB34" s="1"/>
      <c r="AC34" s="1"/>
      <c r="AD34" s="1"/>
      <c r="AE34" s="1"/>
      <c r="AF34" s="29"/>
      <c r="AG34" s="29"/>
      <c r="AH34" s="9"/>
      <c r="AI34" s="29"/>
      <c r="AJ34" s="30"/>
      <c r="AK34" s="29"/>
      <c r="AL34" s="1"/>
      <c r="AM34" s="1"/>
      <c r="AN34" s="1"/>
      <c r="AO34" s="30"/>
      <c r="AP34" s="1"/>
      <c r="AQ34" s="29"/>
      <c r="AR34" s="29"/>
      <c r="AS34" s="1"/>
      <c r="AT34" s="1"/>
      <c r="AU34" s="1"/>
      <c r="AV34" s="1"/>
      <c r="AW34" s="1"/>
      <c r="AX34" s="1"/>
      <c r="AY34" s="1"/>
    </row>
    <row r="35" ht="15.75" customHeight="1">
      <c r="A35" s="1"/>
      <c r="B35" s="1"/>
      <c r="C35" s="1"/>
      <c r="D35" s="1"/>
      <c r="E35" s="1"/>
      <c r="F35" s="1"/>
      <c r="G35" s="1"/>
      <c r="H35" s="3" t="s">
        <v>85</v>
      </c>
      <c r="I35" s="9">
        <f>SQRT((3*$A$28)/(2*$E$9))*($C$34/$E$9)</f>
        <v>6.245694316</v>
      </c>
      <c r="J35" s="9">
        <f>SQRT((3*$E$9)/(2*$A$28))*($C$34/(2*$E$9^2))*$B$28+SQRT((3*$A$28)/(2*$E$9))*(3*$C$34)/(2*$E$9^2)*$F$9+SQRT((3*$A$28)/(2*$E$9))*(1/$E$9)*$D$34</f>
        <v>0.5112831677</v>
      </c>
      <c r="K35" s="29">
        <f>$E$22*(1+$A$28/(2*$E$9))</f>
        <v>0.8461931859</v>
      </c>
      <c r="L35" s="29">
        <f>(1+$A$28/(2*$E$9))*$F$22+($E$22/(2*$E$9))*$B$28+(($E$22*$A$28)/(2*$E$9^2))*$F$9</f>
        <v>0.006780840817</v>
      </c>
      <c r="M35" s="1">
        <f t="shared" ref="M35:M37" si="88">1+INT(I35/PI())</f>
        <v>2</v>
      </c>
      <c r="N35" s="9">
        <f>$A$28/$E$9</f>
        <v>0.1595744681</v>
      </c>
      <c r="O35" s="29">
        <f>$B$28/$E$9+($A$28/$E$9^2)*$F$9</f>
        <v>0.01349592576</v>
      </c>
      <c r="P35" s="1">
        <v>-1.0</v>
      </c>
      <c r="Q35" s="5">
        <f t="shared" ref="Q35:Q37" si="89">($E$9/$C$34)^2</f>
        <v>0.006136111111</v>
      </c>
      <c r="R35" s="5">
        <f t="shared" ref="R35:R37" si="90">((2*$E$9)/$C$34^2)*$F$9+((2*$E$9^3)/$C$34^3)*$D$34</f>
        <v>0.0004281508519</v>
      </c>
      <c r="S35" s="1">
        <v>-2.0</v>
      </c>
      <c r="T35" s="9">
        <f>($C$34^2*$A$28)/($E$9^3)</f>
        <v>26.00579833</v>
      </c>
      <c r="U35" s="9">
        <f>((2*$C$34*$A$28)/$E$9^3)*$D$34+($C$34^2/$E$9^3)*$B$28+((3*$C$34^2*$A$28)/$E$9^4)*$F$9</f>
        <v>4.257757833</v>
      </c>
      <c r="V35" s="1">
        <v>1.0</v>
      </c>
      <c r="W35" s="1"/>
      <c r="X35" s="1"/>
      <c r="Y35" s="1"/>
      <c r="Z35" s="1"/>
      <c r="AA35" s="3" t="s">
        <v>85</v>
      </c>
      <c r="AB35" s="1">
        <v>4.0</v>
      </c>
      <c r="AC35" s="1">
        <f t="shared" ref="AC35:AC37" si="91">AB35-M35</f>
        <v>2</v>
      </c>
      <c r="AD35" s="1">
        <v>2.0</v>
      </c>
      <c r="AE35" s="1">
        <f t="shared" ref="AE35:AE37" si="92">AD35-M35</f>
        <v>0</v>
      </c>
      <c r="AF35" s="29">
        <v>3.33</v>
      </c>
      <c r="AG35" s="29">
        <f t="shared" ref="AG35:AG37" si="93">$AS$6</f>
        <v>0.6472</v>
      </c>
      <c r="AH35" s="9">
        <f t="shared" ref="AH35:AH37" si="94">$X$6/AF35</f>
        <v>0.9309309309</v>
      </c>
      <c r="AI35" s="9">
        <f t="shared" ref="AI35:AI37" si="95">$Y$6/AF35+($X$6/AF35^2)*AG35</f>
        <v>0.1812307803</v>
      </c>
      <c r="AJ35" s="30">
        <f t="shared" ref="AJ35:AJ37" si="96">(AH35-K35)/K35</f>
        <v>0.1001399521</v>
      </c>
      <c r="AK35" s="29">
        <v>2.404</v>
      </c>
      <c r="AL35" s="1">
        <v>0.06</v>
      </c>
      <c r="AM35" s="29">
        <f t="shared" ref="AM35:AM37" si="97">$X$12/AK35</f>
        <v>0.884359401</v>
      </c>
      <c r="AN35" s="29">
        <f t="shared" ref="AN35:AN37" si="98">$Y$12/AK35+($X$12/AK35^2)*AL35</f>
        <v>0.02248817141</v>
      </c>
      <c r="AO35" s="30">
        <f t="shared" ref="AO35:AO37" si="99">(AM35-K35)/K35</f>
        <v>0.04510343001</v>
      </c>
      <c r="AP35" s="1"/>
      <c r="AQ35" s="29"/>
      <c r="AR35" s="29"/>
      <c r="AS35" s="1"/>
      <c r="AT35" s="1"/>
      <c r="AU35" s="1"/>
      <c r="AV35" s="1"/>
      <c r="AW35" s="1"/>
      <c r="AX35" s="1"/>
      <c r="AY35" s="1"/>
    </row>
    <row r="36" ht="15.75" customHeight="1">
      <c r="A36" s="1"/>
      <c r="B36" s="1"/>
      <c r="C36" s="1"/>
      <c r="D36" s="1"/>
      <c r="E36" s="1"/>
      <c r="F36" s="1"/>
      <c r="G36" s="1"/>
      <c r="H36" s="3" t="s">
        <v>86</v>
      </c>
      <c r="I36" s="9">
        <f>SQRT((3*$C$28)/(2*$E$9))*($C$34/$E$9)</f>
        <v>8.832745609</v>
      </c>
      <c r="J36" s="9">
        <f>SQRT((3*$E$9)/(2*$C$28))*($C$34/(2*$E$9^2))*$D$28+SQRT((3*$C$28)/(2*$E$9))*(3*$C$34)/(2*$E$9^2)*$F$9+SQRT((3*$C$28)/(2*$E$9))*(1/$E$9)*$D$34</f>
        <v>0.6126542699</v>
      </c>
      <c r="K36" s="29">
        <f>$E$22*(1+$C$28/(2*$E$9))</f>
        <v>0.908719776</v>
      </c>
      <c r="L36" s="29">
        <f>(1+$C$28/(2*$E$9))*$F$22+($E$22/(2*$E$9))*$D$28+(($E$22*$C$28)/(2*$E$9^2))*$F$9</f>
        <v>0.009052961533</v>
      </c>
      <c r="M36" s="1">
        <f t="shared" si="88"/>
        <v>3</v>
      </c>
      <c r="N36" s="9">
        <f>$C$28/$E$9</f>
        <v>0.3191489362</v>
      </c>
      <c r="O36" s="29">
        <f>$D$28/$E$9+($C$28/$E$9^2)*$F$9</f>
        <v>0.01901312811</v>
      </c>
      <c r="P36" s="1">
        <v>-1.0</v>
      </c>
      <c r="Q36" s="5">
        <f t="shared" si="89"/>
        <v>0.006136111111</v>
      </c>
      <c r="R36" s="5">
        <f t="shared" si="90"/>
        <v>0.0004281508519</v>
      </c>
      <c r="S36" s="1">
        <v>-2.0</v>
      </c>
      <c r="T36" s="9">
        <f>($C$34^2*$C$28)/($E$9^3)</f>
        <v>52.01159666</v>
      </c>
      <c r="U36" s="9">
        <f>((2*$C$34*$C$28)/$E$9^3)*$D$34+($C$34^2/$E$9^3)*$D$28+((3*$C$34^2*$C$28)/$E$9^4)*$F$9</f>
        <v>7.215225749</v>
      </c>
      <c r="V36" s="1">
        <v>1.0</v>
      </c>
      <c r="W36" s="1"/>
      <c r="X36" s="1"/>
      <c r="Y36" s="1"/>
      <c r="Z36" s="1"/>
      <c r="AA36" s="3" t="s">
        <v>86</v>
      </c>
      <c r="AB36" s="1">
        <v>6.0</v>
      </c>
      <c r="AC36" s="1">
        <f t="shared" si="91"/>
        <v>3</v>
      </c>
      <c r="AD36" s="1">
        <v>3.0</v>
      </c>
      <c r="AE36" s="1">
        <f t="shared" si="92"/>
        <v>0</v>
      </c>
      <c r="AF36" s="29">
        <v>2.92</v>
      </c>
      <c r="AG36" s="29">
        <f t="shared" si="93"/>
        <v>0.6472</v>
      </c>
      <c r="AH36" s="9">
        <f t="shared" si="94"/>
        <v>1.061643836</v>
      </c>
      <c r="AI36" s="9">
        <f t="shared" si="95"/>
        <v>0.2356492775</v>
      </c>
      <c r="AJ36" s="30">
        <f t="shared" si="96"/>
        <v>0.1682851675</v>
      </c>
      <c r="AK36" s="29">
        <v>2.322</v>
      </c>
      <c r="AL36" s="1">
        <v>0.08</v>
      </c>
      <c r="AM36" s="29">
        <f t="shared" si="97"/>
        <v>0.9155900086</v>
      </c>
      <c r="AN36" s="29">
        <f t="shared" si="98"/>
        <v>0.03197553863</v>
      </c>
      <c r="AO36" s="30">
        <f t="shared" si="99"/>
        <v>0.007560342411</v>
      </c>
      <c r="AP36" s="1"/>
      <c r="AQ36" s="29"/>
      <c r="AR36" s="29"/>
      <c r="AS36" s="1"/>
      <c r="AT36" s="1"/>
      <c r="AU36" s="1"/>
      <c r="AV36" s="1"/>
      <c r="AW36" s="1"/>
      <c r="AX36" s="1"/>
      <c r="AY36" s="1"/>
    </row>
    <row r="37" ht="15.75" customHeight="1">
      <c r="A37" s="1"/>
      <c r="B37" s="1"/>
      <c r="C37" s="1"/>
      <c r="D37" s="1"/>
      <c r="E37" s="1"/>
      <c r="F37" s="1"/>
      <c r="G37" s="1"/>
      <c r="H37" s="3" t="s">
        <v>87</v>
      </c>
      <c r="I37" s="9">
        <f>SQRT((3*$E$28)/(2*$E$9))*($C$34/$E$9)</f>
        <v>10.81785988</v>
      </c>
      <c r="J37" s="9">
        <f>SQRT((3*$E$9)/(2*$E$28))*($C$34/(2*$E$9^2))*$F$28+SQRT((3*$E$28)/(2*$E$9))*(3*$C$34)/(2*$E$9^2)*$F$9+SQRT((3*$E$28)/(2*$E$9))*(1/$E$9)*$D$34</f>
        <v>0.7052707588</v>
      </c>
      <c r="K37" s="29">
        <f>$E$22*(1+$E$28/(2*$E$9))</f>
        <v>0.971246366</v>
      </c>
      <c r="L37" s="29">
        <f>(1+$E$28/(2*$E$9))*$F$22+($E$22/(2*$E$9))*$F$28+(($E$22*$E$28)/(2*$E$9^2))*$F$9</f>
        <v>0.01132508225</v>
      </c>
      <c r="M37" s="1">
        <f t="shared" si="88"/>
        <v>4</v>
      </c>
      <c r="N37" s="9">
        <f>$E$28/$E$9</f>
        <v>0.4787234043</v>
      </c>
      <c r="O37" s="29">
        <f>$F$28/$E$9+($E$28/$E$9^2)*$F$9</f>
        <v>0.02453033047</v>
      </c>
      <c r="P37" s="1">
        <v>-1.0</v>
      </c>
      <c r="Q37" s="5">
        <f t="shared" si="89"/>
        <v>0.006136111111</v>
      </c>
      <c r="R37" s="5">
        <f t="shared" si="90"/>
        <v>0.0004281508519</v>
      </c>
      <c r="S37" s="1">
        <v>-2.0</v>
      </c>
      <c r="T37" s="9">
        <f>($C$34^2*$E$28)/($E$9^3)</f>
        <v>78.01739499</v>
      </c>
      <c r="U37" s="9">
        <f>((2*$C$34*$E$28)/$E$9^3)*$D$34+($C$34^2/$E$9^3)*$F$28+((3*$C$34^2*$E$28)/$E$9^4)*$F$9</f>
        <v>10.17269367</v>
      </c>
      <c r="V37" s="1">
        <v>2.0</v>
      </c>
      <c r="W37" s="1"/>
      <c r="X37" s="1"/>
      <c r="Y37" s="1"/>
      <c r="Z37" s="1"/>
      <c r="AA37" s="3" t="s">
        <v>87</v>
      </c>
      <c r="AB37" s="1">
        <v>7.0</v>
      </c>
      <c r="AC37" s="1">
        <f t="shared" si="91"/>
        <v>3</v>
      </c>
      <c r="AD37" s="1">
        <v>4.0</v>
      </c>
      <c r="AE37" s="1">
        <f t="shared" si="92"/>
        <v>0</v>
      </c>
      <c r="AF37" s="29">
        <v>3.3</v>
      </c>
      <c r="AG37" s="29">
        <f t="shared" si="93"/>
        <v>0.6472</v>
      </c>
      <c r="AH37" s="9">
        <f t="shared" si="94"/>
        <v>0.9393939394</v>
      </c>
      <c r="AI37" s="9">
        <f t="shared" si="95"/>
        <v>0.1845381084</v>
      </c>
      <c r="AJ37" s="30">
        <f t="shared" si="96"/>
        <v>-0.03279541398</v>
      </c>
      <c r="AK37" s="29">
        <v>2.004</v>
      </c>
      <c r="AL37" s="1">
        <v>0.06</v>
      </c>
      <c r="AM37" s="29">
        <f t="shared" si="97"/>
        <v>1.060878244</v>
      </c>
      <c r="AN37" s="29">
        <f t="shared" si="98"/>
        <v>0.03226182366</v>
      </c>
      <c r="AO37" s="30">
        <f t="shared" si="99"/>
        <v>0.09228541862</v>
      </c>
      <c r="AP37" s="1"/>
      <c r="AQ37" s="29"/>
      <c r="AR37" s="29"/>
      <c r="AS37" s="1"/>
      <c r="AT37" s="1"/>
      <c r="AU37" s="1"/>
      <c r="AV37" s="1"/>
      <c r="AW37" s="1"/>
      <c r="AX37" s="1"/>
      <c r="AY37" s="1"/>
    </row>
    <row r="38" ht="15.75" customHeight="1">
      <c r="A38" s="1"/>
      <c r="B38" s="1"/>
      <c r="C38" s="1"/>
      <c r="D38" s="1"/>
      <c r="E38" s="1"/>
      <c r="F38" s="1"/>
      <c r="G38" s="1"/>
      <c r="H38" s="3"/>
      <c r="I38" s="9"/>
      <c r="J38" s="9"/>
      <c r="K38" s="29"/>
      <c r="L38" s="29"/>
      <c r="M38" s="1"/>
      <c r="N38" s="9"/>
      <c r="O38" s="9"/>
      <c r="P38" s="1"/>
      <c r="Q38" s="1"/>
      <c r="R38" s="5"/>
      <c r="S38" s="1"/>
      <c r="T38" s="9"/>
      <c r="U38" s="9"/>
      <c r="V38" s="1"/>
      <c r="W38" s="1"/>
      <c r="X38" s="1"/>
      <c r="Y38" s="1"/>
      <c r="Z38" s="1"/>
      <c r="AA38" s="3"/>
      <c r="AB38" s="1"/>
      <c r="AC38" s="1"/>
      <c r="AD38" s="1"/>
      <c r="AE38" s="1"/>
      <c r="AF38" s="29"/>
      <c r="AG38" s="29"/>
      <c r="AH38" s="9"/>
      <c r="AI38" s="29"/>
      <c r="AJ38" s="30"/>
      <c r="AK38" s="29"/>
      <c r="AL38" s="1"/>
      <c r="AM38" s="1"/>
      <c r="AN38" s="1"/>
      <c r="AO38" s="30"/>
      <c r="AQ38" s="29"/>
      <c r="AR38" s="29"/>
      <c r="AS38" s="1"/>
      <c r="AT38" s="1"/>
      <c r="AU38" s="1"/>
      <c r="AV38" s="1"/>
      <c r="AW38" s="1"/>
      <c r="AX38" s="1"/>
      <c r="AY38" s="1"/>
    </row>
    <row r="39" ht="15.75" customHeight="1">
      <c r="A39" s="1"/>
      <c r="B39" s="1"/>
      <c r="C39" s="1"/>
      <c r="D39" s="1"/>
      <c r="E39" s="1"/>
      <c r="F39" s="1"/>
      <c r="G39" s="1"/>
      <c r="H39" s="3" t="s">
        <v>88</v>
      </c>
      <c r="I39" s="9">
        <f>SQRT((3*$A$28)/(2*$E$9))*($E$34/$E$9)</f>
        <v>7.807117896</v>
      </c>
      <c r="J39" s="9">
        <f>SQRT((3*$E$9)/(2*$A$28))*($E$34/(2*$E$9^2))*$B$28+SQRT((3*$A$28)/(2*$E$9))*(3*$E$34)/(2*$E$9^2)*$F$9+SQRT((3*$A$28)/(2*$E$9))*(1/$E$9)*$F$34</f>
        <v>0.6312968417</v>
      </c>
      <c r="K39" s="29">
        <f>$E$22*(1+$A$28/(2*$E$9))</f>
        <v>0.8461931859</v>
      </c>
      <c r="L39" s="29">
        <f>(1+$A$28/(2*$E$9))*$F$22+($E$22/(2*$E$9))*$B$28+(($E$22*$A$28)/(2*$E$9^2))*$F$9</f>
        <v>0.006780840817</v>
      </c>
      <c r="M39" s="1">
        <f t="shared" ref="M39:M41" si="100">1+INT(I39/PI())</f>
        <v>3</v>
      </c>
      <c r="N39" s="29">
        <f>$A$28/$E$9</f>
        <v>0.1595744681</v>
      </c>
      <c r="O39" s="29">
        <f>$B$28/$E$9+($A$28/$E$9^2)*$F$9</f>
        <v>0.01349592576</v>
      </c>
      <c r="P39" s="1">
        <v>-1.0</v>
      </c>
      <c r="Q39" s="5">
        <f t="shared" ref="Q39:Q41" si="101">($E$9/$E$34)^2</f>
        <v>0.003927111111</v>
      </c>
      <c r="R39" s="5">
        <f t="shared" ref="R39:R41" si="102">((2*$E$9)/$E$34^2)*$F$9+((2*$E$9^3)/$E$34^3)*$F$34</f>
        <v>0.0002735243473</v>
      </c>
      <c r="S39" s="1">
        <v>-3.0</v>
      </c>
      <c r="T39" s="9">
        <f>($E$34^2*$A$28)/($E$9^3)</f>
        <v>40.63405989</v>
      </c>
      <c r="U39" s="9">
        <f>((2*$E$34*$A$28)/$E$9^3)*$F$34+($E$34^2/$E$9^3)*$B$28+((3*$E$34^2*$A$28)/$E$9^4)*$F$9</f>
        <v>6.571478494</v>
      </c>
      <c r="V39" s="1">
        <v>1.0</v>
      </c>
      <c r="W39" s="1"/>
      <c r="X39" s="1"/>
      <c r="Y39" s="1"/>
      <c r="Z39" s="1"/>
      <c r="AA39" s="3" t="s">
        <v>88</v>
      </c>
      <c r="AB39" s="1">
        <v>6.0</v>
      </c>
      <c r="AC39" s="1">
        <f t="shared" ref="AC39:AC41" si="103">AB39-M39</f>
        <v>3</v>
      </c>
      <c r="AD39" s="1">
        <v>3.0</v>
      </c>
      <c r="AE39" s="1">
        <f t="shared" ref="AE39:AE41" si="104">AD39-M39</f>
        <v>0</v>
      </c>
      <c r="AF39" s="29">
        <v>3.86</v>
      </c>
      <c r="AG39" s="29">
        <f t="shared" ref="AG39:AG41" si="105">$AS$6</f>
        <v>0.6472</v>
      </c>
      <c r="AH39" s="9">
        <f t="shared" ref="AH39:AH41" si="106">$X$6/AF39</f>
        <v>0.8031088083</v>
      </c>
      <c r="AI39" s="9">
        <f t="shared" ref="AI39:AI41" si="107">$Y$6/AF39+($X$6/AF39^2)*AG39</f>
        <v>0.1349150313</v>
      </c>
      <c r="AJ39" s="30">
        <f t="shared" ref="AJ39:AJ41" si="108">(AH39-K39)/K39</f>
        <v>-0.05091553358</v>
      </c>
      <c r="AK39" s="29">
        <v>2.436</v>
      </c>
      <c r="AL39" s="1">
        <v>0.08</v>
      </c>
      <c r="AM39" s="29">
        <f t="shared" ref="AM39:AM41" si="109">$X$12/AK39</f>
        <v>0.8727422003</v>
      </c>
      <c r="AN39" s="29">
        <f t="shared" ref="AN39:AN41" si="110">$Y$12/AK39+($X$12/AK39^2)*AL39</f>
        <v>0.02907199344</v>
      </c>
      <c r="AO39" s="30">
        <f t="shared" ref="AO39:AO41" si="111">(AM39-K39)/K39</f>
        <v>0.03137464932</v>
      </c>
      <c r="AP39" s="1"/>
      <c r="AQ39" s="29"/>
      <c r="AR39" s="29"/>
      <c r="AS39" s="1"/>
      <c r="AT39" s="1"/>
      <c r="AU39" s="1"/>
      <c r="AV39" s="1"/>
      <c r="AW39" s="1"/>
      <c r="AX39" s="1"/>
      <c r="AY39" s="1"/>
    </row>
    <row r="40" ht="15.75" customHeight="1">
      <c r="A40" s="1"/>
      <c r="B40" s="1"/>
      <c r="C40" s="1"/>
      <c r="D40" s="1"/>
      <c r="E40" s="1"/>
      <c r="F40" s="1"/>
      <c r="G40" s="1"/>
      <c r="H40" s="3" t="s">
        <v>89</v>
      </c>
      <c r="I40" s="9">
        <f>SQRT((3*$C$28)/(2*$E$9))*($E$34/$E$9)</f>
        <v>11.04093201</v>
      </c>
      <c r="J40" s="9">
        <f>SQRT((3*$E$9)/(2*$C$28))*($E$34/(2*$E$9^2))*$D$28+SQRT((3*$C$28)/(2*$E$9))*(3*$E$34)/(2*$E$9^2)*$F$9+SQRT((3*$C$28)/(2*$E$9))*(1/$E$9)*$F$34</f>
        <v>0.7547769053</v>
      </c>
      <c r="K40" s="29">
        <f>$E$22*(1+$C$28/(2*$E$9))</f>
        <v>0.908719776</v>
      </c>
      <c r="L40" s="29">
        <f>(1+$C$28/(2*$E$9))*$F$22+($E$22/(2*$E$9))*$D$28+(($E$22*$C$28)/(2*$E$9^2))*$F$9</f>
        <v>0.009052961533</v>
      </c>
      <c r="M40" s="1">
        <f t="shared" si="100"/>
        <v>4</v>
      </c>
      <c r="N40" s="29">
        <f>$C$28/$E$9</f>
        <v>0.3191489362</v>
      </c>
      <c r="O40" s="29">
        <f>$D$28/$E$9+($C$28/$E$9^2)*$F$9</f>
        <v>0.01901312811</v>
      </c>
      <c r="P40" s="1">
        <v>-1.0</v>
      </c>
      <c r="Q40" s="5">
        <f t="shared" si="101"/>
        <v>0.003927111111</v>
      </c>
      <c r="R40" s="5">
        <f t="shared" si="102"/>
        <v>0.0002735243473</v>
      </c>
      <c r="S40" s="1">
        <v>-3.0</v>
      </c>
      <c r="T40" s="9">
        <f>($E$34^2*$C$28)/($E$9^3)</f>
        <v>81.26811978</v>
      </c>
      <c r="U40" s="9">
        <f>((2*$E$34*$C$28)/$E$9^3)*$F$34+($E$34^2/$E$9^3)*$D$28+((3*$E$34^2*$C$28)/$E$9^4)*$F$9</f>
        <v>11.11125399</v>
      </c>
      <c r="V40" s="1">
        <v>2.0</v>
      </c>
      <c r="W40" s="1"/>
      <c r="X40" s="1"/>
      <c r="Y40" s="1"/>
      <c r="Z40" s="1"/>
      <c r="AA40" s="3" t="s">
        <v>89</v>
      </c>
      <c r="AB40" s="1">
        <v>4.0</v>
      </c>
      <c r="AC40" s="1">
        <f t="shared" si="103"/>
        <v>0</v>
      </c>
      <c r="AD40" s="1">
        <v>4.0</v>
      </c>
      <c r="AE40" s="1">
        <f t="shared" si="104"/>
        <v>0</v>
      </c>
      <c r="AF40" s="29">
        <v>3.34</v>
      </c>
      <c r="AG40" s="29">
        <f t="shared" si="105"/>
        <v>0.6472</v>
      </c>
      <c r="AH40" s="9">
        <f t="shared" si="106"/>
        <v>0.9281437126</v>
      </c>
      <c r="AI40" s="9">
        <f t="shared" si="107"/>
        <v>0.1801480871</v>
      </c>
      <c r="AJ40" s="30">
        <f t="shared" si="108"/>
        <v>0.02137505658</v>
      </c>
      <c r="AK40" s="9">
        <v>2.094</v>
      </c>
      <c r="AL40" s="1">
        <v>0.1</v>
      </c>
      <c r="AM40" s="29">
        <f t="shared" si="109"/>
        <v>1.015281757</v>
      </c>
      <c r="AN40" s="29">
        <f t="shared" si="110"/>
        <v>0.04896283464</v>
      </c>
      <c r="AO40" s="30">
        <f t="shared" si="111"/>
        <v>0.117266053</v>
      </c>
      <c r="AP40" s="1"/>
      <c r="AQ40" s="29"/>
      <c r="AR40" s="29"/>
      <c r="AS40" s="1"/>
      <c r="AT40" s="1"/>
      <c r="AU40" s="1"/>
      <c r="AV40" s="1"/>
      <c r="AW40" s="1"/>
      <c r="AX40" s="1"/>
      <c r="AY40" s="1"/>
    </row>
    <row r="41" ht="15.75" customHeight="1">
      <c r="A41" s="1"/>
      <c r="B41" s="1"/>
      <c r="C41" s="1"/>
      <c r="D41" s="1"/>
      <c r="E41" s="1"/>
      <c r="F41" s="1"/>
      <c r="G41" s="1"/>
      <c r="H41" s="3" t="s">
        <v>90</v>
      </c>
      <c r="I41" s="9">
        <f>SQRT((3*$E$28)/(2*$E$9))*($E$34/$E$9)</f>
        <v>13.52232486</v>
      </c>
      <c r="J41" s="9">
        <f>SQRT((3*$E$9)/(2*$E$28))*($E$34/(2*$E$9^2))*$F$28+SQRT((3*$E$28)/(2*$E$9))*(3*$E$34)/(2*$E$9^2)*$F$9+SQRT((3*$E$28)/(2*$E$9))*(1/$E$9)*$F$34</f>
        <v>0.8680661236</v>
      </c>
      <c r="K41" s="29">
        <f>$E$22*(1+$E$28/(2*$E$9))</f>
        <v>0.971246366</v>
      </c>
      <c r="L41" s="29">
        <f>(1+$E$28/(2*$E$9))*$F$22+($E$22/(2*$E$9))*$F$28+(($E$22*$E$28)/(2*$E$9^2))*$F$9</f>
        <v>0.01132508225</v>
      </c>
      <c r="M41" s="1">
        <f t="shared" si="100"/>
        <v>5</v>
      </c>
      <c r="N41" s="29">
        <f>$E$28/$E$9</f>
        <v>0.4787234043</v>
      </c>
      <c r="O41" s="29">
        <f>$F$28/$E$9+($E$28/$E$9^2)*$F$9</f>
        <v>0.02453033047</v>
      </c>
      <c r="P41" s="1">
        <v>-1.0</v>
      </c>
      <c r="Q41" s="5">
        <f t="shared" si="101"/>
        <v>0.003927111111</v>
      </c>
      <c r="R41" s="5">
        <f t="shared" si="102"/>
        <v>0.0002735243473</v>
      </c>
      <c r="S41" s="1">
        <v>-3.0</v>
      </c>
      <c r="T41" s="9">
        <f>($E$34^2*$E$28)/($E$9^3)</f>
        <v>121.9021797</v>
      </c>
      <c r="U41" s="9">
        <f>((2*$E$34*$E$28)/$E$9^3)*$F$34+($E$34^2/$E$9^3)*$F$28+((3*$E$34^2*$E$28)/$E$9^4)*$F$9</f>
        <v>15.65102949</v>
      </c>
      <c r="V41" s="1">
        <v>2.0</v>
      </c>
      <c r="W41" s="1"/>
      <c r="X41" s="1"/>
      <c r="Y41" s="1"/>
      <c r="Z41" s="1"/>
      <c r="AA41" s="3" t="s">
        <v>90</v>
      </c>
      <c r="AB41" s="1">
        <v>4.0</v>
      </c>
      <c r="AC41" s="1">
        <f t="shared" si="103"/>
        <v>-1</v>
      </c>
      <c r="AD41" s="1">
        <v>4.0</v>
      </c>
      <c r="AE41" s="1">
        <f t="shared" si="104"/>
        <v>-1</v>
      </c>
      <c r="AF41" s="29">
        <v>2.85</v>
      </c>
      <c r="AG41" s="29">
        <f t="shared" si="105"/>
        <v>0.6472</v>
      </c>
      <c r="AH41" s="9">
        <f t="shared" si="106"/>
        <v>1.087719298</v>
      </c>
      <c r="AI41" s="9">
        <f t="shared" si="107"/>
        <v>0.2473585719</v>
      </c>
      <c r="AJ41" s="30">
        <f t="shared" si="108"/>
        <v>0.1199210996</v>
      </c>
      <c r="AK41" s="29">
        <v>2.147</v>
      </c>
      <c r="AL41" s="1">
        <v>0.03</v>
      </c>
      <c r="AM41" s="29">
        <f t="shared" si="109"/>
        <v>0.9902189101</v>
      </c>
      <c r="AN41" s="29">
        <f t="shared" si="110"/>
        <v>0.01430208072</v>
      </c>
      <c r="AO41" s="30">
        <f t="shared" si="111"/>
        <v>0.01953422399</v>
      </c>
      <c r="AP41" s="1"/>
      <c r="AQ41" s="29"/>
      <c r="AR41" s="29"/>
      <c r="AS41" s="1"/>
      <c r="AT41" s="1"/>
      <c r="AU41" s="1"/>
      <c r="AV41" s="1"/>
      <c r="AW41" s="1"/>
      <c r="AX41" s="1"/>
      <c r="AY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30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29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3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ht="15.75" customHeight="1">
      <c r="A44" s="1"/>
      <c r="B44" s="1"/>
      <c r="C44" s="1"/>
      <c r="D44" s="1"/>
      <c r="E44" s="1"/>
      <c r="F44" s="1"/>
      <c r="G44" s="1"/>
      <c r="H44" s="1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25" right="0.25" top="0.75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3">
      <c r="A3" s="35" t="s">
        <v>13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7" t="s">
        <v>14</v>
      </c>
      <c r="R3" s="36"/>
      <c r="S3" s="36"/>
      <c r="T3" s="35" t="s">
        <v>15</v>
      </c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</row>
    <row r="5">
      <c r="A5" s="38" t="s">
        <v>17</v>
      </c>
      <c r="B5" s="39" t="s">
        <v>18</v>
      </c>
      <c r="C5" s="40" t="s">
        <v>19</v>
      </c>
      <c r="D5" s="41" t="s">
        <v>20</v>
      </c>
      <c r="E5" s="42" t="s">
        <v>21</v>
      </c>
      <c r="F5" s="43" t="s">
        <v>22</v>
      </c>
      <c r="G5" s="40" t="s">
        <v>91</v>
      </c>
      <c r="H5" s="44" t="s">
        <v>19</v>
      </c>
      <c r="I5" s="44" t="s">
        <v>24</v>
      </c>
      <c r="J5" s="40" t="s">
        <v>92</v>
      </c>
      <c r="K5" s="44" t="s">
        <v>19</v>
      </c>
      <c r="L5" s="44" t="s">
        <v>24</v>
      </c>
      <c r="M5" s="40" t="s">
        <v>26</v>
      </c>
      <c r="N5" s="44" t="s">
        <v>19</v>
      </c>
      <c r="O5" s="44" t="s">
        <v>24</v>
      </c>
      <c r="P5" s="36"/>
      <c r="Q5" s="45" t="s">
        <v>27</v>
      </c>
      <c r="R5" s="44" t="s">
        <v>3</v>
      </c>
      <c r="T5" s="38" t="s">
        <v>17</v>
      </c>
      <c r="U5" s="46" t="s">
        <v>28</v>
      </c>
      <c r="V5" s="47" t="s">
        <v>29</v>
      </c>
      <c r="W5" s="48" t="s">
        <v>30</v>
      </c>
      <c r="X5" s="47" t="s">
        <v>29</v>
      </c>
      <c r="Y5" s="49" t="s">
        <v>31</v>
      </c>
      <c r="Z5" s="47" t="s">
        <v>32</v>
      </c>
      <c r="AA5" s="50" t="s">
        <v>33</v>
      </c>
      <c r="AB5" s="47" t="s">
        <v>34</v>
      </c>
      <c r="AC5" s="47" t="s">
        <v>29</v>
      </c>
      <c r="AD5" s="48" t="s">
        <v>35</v>
      </c>
      <c r="AE5" s="47" t="s">
        <v>32</v>
      </c>
      <c r="AF5" s="51" t="s">
        <v>36</v>
      </c>
      <c r="AG5" s="47" t="s">
        <v>34</v>
      </c>
      <c r="AH5" s="47" t="s">
        <v>29</v>
      </c>
    </row>
    <row r="6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52">
        <v>3.1</v>
      </c>
      <c r="R6" s="36">
        <v>0.001</v>
      </c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</row>
    <row r="7">
      <c r="A7" s="53" t="s">
        <v>40</v>
      </c>
      <c r="B7" s="54">
        <v>9.604515610722805</v>
      </c>
      <c r="C7" s="54">
        <v>3.262105123499069</v>
      </c>
      <c r="D7" s="55">
        <v>0.5422714572364411</v>
      </c>
      <c r="E7" s="55">
        <v>0.03366651136925315</v>
      </c>
      <c r="F7" s="36">
        <v>4.0</v>
      </c>
      <c r="G7" s="54">
        <v>0.5357142857142857</v>
      </c>
      <c r="H7" s="54">
        <v>0.13201530612244902</v>
      </c>
      <c r="I7" s="36">
        <v>-1.0</v>
      </c>
      <c r="J7" s="52">
        <v>0.008711111111111112</v>
      </c>
      <c r="K7" s="52">
        <v>0.00342872651851852</v>
      </c>
      <c r="L7" s="36">
        <v>-2.0</v>
      </c>
      <c r="M7" s="54">
        <v>61.49781341107872</v>
      </c>
      <c r="N7" s="54">
        <v>41.77458610995421</v>
      </c>
      <c r="O7" s="36">
        <v>2.0</v>
      </c>
      <c r="P7" s="36"/>
      <c r="Q7" s="36"/>
      <c r="R7" s="36"/>
      <c r="T7" s="53" t="s">
        <v>40</v>
      </c>
      <c r="U7" s="36">
        <v>2.0</v>
      </c>
      <c r="V7" s="36">
        <v>-2.0</v>
      </c>
      <c r="W7" s="36">
        <v>3.0</v>
      </c>
      <c r="X7" s="36">
        <v>-1.0</v>
      </c>
      <c r="Y7" s="55">
        <v>5.61</v>
      </c>
      <c r="Z7" s="55">
        <v>0.6472000000000001</v>
      </c>
      <c r="AA7" s="55">
        <v>0.5525846702317291</v>
      </c>
      <c r="AB7" s="55">
        <v>0.06392741507557488</v>
      </c>
      <c r="AC7" s="56">
        <v>0.019018542941291513</v>
      </c>
      <c r="AD7" s="55">
        <v>2.4</v>
      </c>
      <c r="AE7" s="36">
        <v>0.06</v>
      </c>
      <c r="AF7" s="55">
        <v>0.8916666666666667</v>
      </c>
      <c r="AG7" s="55">
        <v>0.022708333333333334</v>
      </c>
      <c r="AH7" s="56">
        <v>0.6443179052993792</v>
      </c>
    </row>
    <row r="8">
      <c r="A8" s="53" t="s">
        <v>44</v>
      </c>
      <c r="B8" s="54">
        <v>13.5828362367083</v>
      </c>
      <c r="C8" s="54">
        <v>4.44352785458029</v>
      </c>
      <c r="D8" s="55">
        <v>0.6568358496103371</v>
      </c>
      <c r="E8" s="55">
        <v>0.057318380275890216</v>
      </c>
      <c r="F8" s="36">
        <v>5.0</v>
      </c>
      <c r="G8" s="54">
        <v>1.0714285714285714</v>
      </c>
      <c r="H8" s="54">
        <v>0.23724489795918374</v>
      </c>
      <c r="I8" s="36">
        <v>0.0</v>
      </c>
      <c r="J8" s="52">
        <v>0.008711111111111112</v>
      </c>
      <c r="K8" s="52">
        <v>0.00342872651851852</v>
      </c>
      <c r="L8" s="36">
        <v>-2.0</v>
      </c>
      <c r="M8" s="54">
        <v>122.99562682215743</v>
      </c>
      <c r="N8" s="54">
        <v>80.47428154935449</v>
      </c>
      <c r="O8" s="36">
        <v>2.0</v>
      </c>
      <c r="P8" s="36"/>
      <c r="Q8" s="57" t="s">
        <v>45</v>
      </c>
      <c r="R8" s="36"/>
      <c r="T8" s="53" t="s">
        <v>44</v>
      </c>
      <c r="U8" s="36">
        <v>3.0</v>
      </c>
      <c r="V8" s="36">
        <v>-2.0</v>
      </c>
      <c r="W8" s="36">
        <v>5.0</v>
      </c>
      <c r="X8" s="36">
        <v>0.0</v>
      </c>
      <c r="Y8" s="55">
        <v>5.83</v>
      </c>
      <c r="Z8" s="55">
        <v>0.6472000000000001</v>
      </c>
      <c r="AA8" s="55">
        <v>0.5317324185248714</v>
      </c>
      <c r="AB8" s="55">
        <v>0.05920020948015382</v>
      </c>
      <c r="AC8" s="56">
        <v>-0.1904637683215409</v>
      </c>
      <c r="AD8" s="55">
        <v>3.998</v>
      </c>
      <c r="AE8" s="36">
        <v>0.09</v>
      </c>
      <c r="AF8" s="55">
        <v>0.5352676338169085</v>
      </c>
      <c r="AG8" s="55">
        <v>0.012299671596678777</v>
      </c>
      <c r="AH8" s="56">
        <v>-0.18508157839671527</v>
      </c>
    </row>
    <row r="9">
      <c r="A9" s="53" t="s">
        <v>46</v>
      </c>
      <c r="B9" s="54">
        <v>16.635509019860322</v>
      </c>
      <c r="C9" s="54">
        <v>5.372873329866795</v>
      </c>
      <c r="D9" s="55">
        <v>0.7714002419842331</v>
      </c>
      <c r="E9" s="55">
        <v>0.08097024918252728</v>
      </c>
      <c r="F9" s="36">
        <v>6.0</v>
      </c>
      <c r="G9" s="54">
        <v>1.607142857142857</v>
      </c>
      <c r="H9" s="54">
        <v>0.3424744897959185</v>
      </c>
      <c r="I9" s="36">
        <v>1.0</v>
      </c>
      <c r="J9" s="52">
        <v>0.008711111111111112</v>
      </c>
      <c r="K9" s="52">
        <v>0.00342872651851852</v>
      </c>
      <c r="L9" s="36">
        <v>-2.0</v>
      </c>
      <c r="M9" s="54">
        <v>184.49344023323613</v>
      </c>
      <c r="N9" s="54">
        <v>119.17397698875473</v>
      </c>
      <c r="O9" s="36">
        <v>2.0</v>
      </c>
      <c r="P9" s="36"/>
      <c r="Q9" s="36"/>
      <c r="R9" s="36"/>
      <c r="T9" s="53" t="s">
        <v>46</v>
      </c>
      <c r="U9" s="36">
        <v>4.0</v>
      </c>
      <c r="V9" s="36">
        <v>-2.0</v>
      </c>
      <c r="W9" s="36">
        <v>6.0</v>
      </c>
      <c r="X9" s="36">
        <v>0.0</v>
      </c>
      <c r="Y9" s="55">
        <v>4.95</v>
      </c>
      <c r="Z9" s="55">
        <v>0.6472000000000001</v>
      </c>
      <c r="AA9" s="55">
        <v>0.6262626262626263</v>
      </c>
      <c r="AB9" s="55">
        <v>0.08208427711458016</v>
      </c>
      <c r="AC9" s="56">
        <v>-0.18814826314842314</v>
      </c>
      <c r="AD9" s="55">
        <v>3.5</v>
      </c>
      <c r="AE9" s="36">
        <v>0.07</v>
      </c>
      <c r="AF9" s="55">
        <v>0.6114285714285714</v>
      </c>
      <c r="AG9" s="55">
        <v>0.012514285714285716</v>
      </c>
      <c r="AH9" s="56">
        <v>-0.20737829968029925</v>
      </c>
    </row>
    <row r="10">
      <c r="A10" s="53"/>
      <c r="B10" s="54"/>
      <c r="C10" s="36"/>
      <c r="D10" s="55"/>
      <c r="E10" s="55"/>
      <c r="F10" s="36"/>
      <c r="G10" s="54"/>
      <c r="H10" s="54"/>
      <c r="I10" s="36"/>
      <c r="J10" s="36"/>
      <c r="K10" s="52"/>
      <c r="L10" s="36"/>
      <c r="M10" s="54"/>
      <c r="N10" s="54"/>
      <c r="O10" s="36"/>
      <c r="P10" s="36"/>
      <c r="Q10" s="45" t="s">
        <v>27</v>
      </c>
      <c r="R10" s="44" t="s">
        <v>3</v>
      </c>
      <c r="T10" s="53"/>
      <c r="U10" s="36"/>
      <c r="V10" s="36"/>
      <c r="W10" s="36"/>
      <c r="X10" s="36"/>
      <c r="Y10" s="55"/>
      <c r="Z10" s="55"/>
      <c r="AA10" s="55"/>
      <c r="AB10" s="55"/>
      <c r="AC10" s="56"/>
      <c r="AD10" s="55"/>
      <c r="AE10" s="36"/>
      <c r="AF10" s="55"/>
      <c r="AG10" s="55"/>
      <c r="AH10" s="56"/>
    </row>
    <row r="11">
      <c r="A11" s="53" t="s">
        <v>50</v>
      </c>
      <c r="B11" s="54">
        <v>38.41806244289122</v>
      </c>
      <c r="C11" s="54">
        <v>12.472149557352907</v>
      </c>
      <c r="D11" s="55">
        <v>0.5422714572364411</v>
      </c>
      <c r="E11" s="55">
        <v>0.03366651136925315</v>
      </c>
      <c r="F11" s="36">
        <v>13.0</v>
      </c>
      <c r="G11" s="54">
        <v>0.5357142857142857</v>
      </c>
      <c r="H11" s="54">
        <v>0.13201530612244902</v>
      </c>
      <c r="I11" s="36">
        <v>-1.0</v>
      </c>
      <c r="J11" s="58">
        <v>5.444444444444445E-4</v>
      </c>
      <c r="K11" s="58">
        <v>2.139905185185186E-4</v>
      </c>
      <c r="L11" s="36">
        <v>-4.0</v>
      </c>
      <c r="M11" s="54">
        <v>983.9650145772595</v>
      </c>
      <c r="N11" s="54">
        <v>638.8744273219495</v>
      </c>
      <c r="O11" s="36">
        <v>3.0</v>
      </c>
      <c r="P11" s="36" t="s">
        <v>51</v>
      </c>
      <c r="Q11" s="52">
        <v>2.14</v>
      </c>
      <c r="R11" s="36">
        <v>0.001</v>
      </c>
      <c r="T11" s="53" t="s">
        <v>50</v>
      </c>
      <c r="U11" s="36">
        <v>6.0</v>
      </c>
      <c r="V11" s="36">
        <v>-7.0</v>
      </c>
      <c r="W11" s="36">
        <v>9.0</v>
      </c>
      <c r="X11" s="36">
        <v>-4.0</v>
      </c>
      <c r="Y11" s="55">
        <v>5.67</v>
      </c>
      <c r="Z11" s="55">
        <v>0.6472000000000001</v>
      </c>
      <c r="AA11" s="55">
        <v>0.54673721340388</v>
      </c>
      <c r="AB11" s="55">
        <v>0.06258347875043938</v>
      </c>
      <c r="AC11" s="56">
        <v>0.00823527793662166</v>
      </c>
      <c r="AD11" s="55">
        <v>3.189</v>
      </c>
      <c r="AE11" s="36">
        <v>0.08</v>
      </c>
      <c r="AF11" s="55">
        <v>0.6710567576042646</v>
      </c>
      <c r="AG11" s="55">
        <v>0.017147864725099143</v>
      </c>
      <c r="AH11" s="56">
        <v>0.23749230878598612</v>
      </c>
    </row>
    <row r="12">
      <c r="A12" s="53" t="s">
        <v>52</v>
      </c>
      <c r="B12" s="54">
        <v>54.3313449468332</v>
      </c>
      <c r="C12" s="54">
        <v>16.95914124411866</v>
      </c>
      <c r="D12" s="55">
        <v>0.6568358496103371</v>
      </c>
      <c r="E12" s="55">
        <v>0.057318380275890216</v>
      </c>
      <c r="F12" s="36">
        <v>18.0</v>
      </c>
      <c r="G12" s="54">
        <v>1.0714285714285714</v>
      </c>
      <c r="H12" s="54">
        <v>0.23724489795918374</v>
      </c>
      <c r="I12" s="36">
        <v>0.0</v>
      </c>
      <c r="J12" s="58">
        <v>5.444444444444445E-4</v>
      </c>
      <c r="K12" s="58">
        <v>2.139905185185186E-4</v>
      </c>
      <c r="L12" s="36">
        <v>-4.0</v>
      </c>
      <c r="M12" s="54">
        <v>1967.930029154519</v>
      </c>
      <c r="N12" s="54">
        <v>1228.5506039150362</v>
      </c>
      <c r="O12" s="36">
        <v>3.0</v>
      </c>
      <c r="P12" s="36" t="s">
        <v>53</v>
      </c>
      <c r="Q12" s="36">
        <v>2.126</v>
      </c>
      <c r="R12" s="36">
        <v>0.001</v>
      </c>
      <c r="S12" s="36"/>
      <c r="T12" s="53" t="s">
        <v>52</v>
      </c>
      <c r="U12" s="36">
        <v>12.0</v>
      </c>
      <c r="V12" s="36">
        <v>-6.0</v>
      </c>
      <c r="W12" s="36">
        <v>9.0</v>
      </c>
      <c r="X12" s="36">
        <v>-9.0</v>
      </c>
      <c r="Y12" s="55">
        <v>4.45</v>
      </c>
      <c r="Z12" s="55">
        <v>0.6472000000000001</v>
      </c>
      <c r="AA12" s="54">
        <v>0.6966292134831461</v>
      </c>
      <c r="AB12" s="54">
        <v>0.101541219542987</v>
      </c>
      <c r="AC12" s="56">
        <v>0.06058342262593625</v>
      </c>
      <c r="AD12" s="55">
        <v>3.727</v>
      </c>
      <c r="AE12" s="36">
        <v>0.03</v>
      </c>
      <c r="AF12" s="52">
        <v>0.5808961631338879</v>
      </c>
      <c r="AG12" s="52">
        <v>0.004944160154015734</v>
      </c>
      <c r="AH12" s="56">
        <v>-0.11561440582376839</v>
      </c>
    </row>
    <row r="13">
      <c r="A13" s="53" t="s">
        <v>56</v>
      </c>
      <c r="B13" s="54">
        <v>66.54203607944129</v>
      </c>
      <c r="C13" s="54">
        <v>20.49336277827556</v>
      </c>
      <c r="D13" s="55">
        <v>0.7714002419842331</v>
      </c>
      <c r="E13" s="55">
        <v>0.08097024918252728</v>
      </c>
      <c r="F13" s="36">
        <v>22.0</v>
      </c>
      <c r="G13" s="54">
        <v>1.607142857142857</v>
      </c>
      <c r="H13" s="54">
        <v>0.3424744897959185</v>
      </c>
      <c r="I13" s="36">
        <v>1.0</v>
      </c>
      <c r="J13" s="58">
        <v>5.444444444444445E-4</v>
      </c>
      <c r="K13" s="58">
        <v>2.139905185185186E-4</v>
      </c>
      <c r="L13" s="36">
        <v>-4.0</v>
      </c>
      <c r="M13" s="54">
        <v>2951.895043731778</v>
      </c>
      <c r="N13" s="54">
        <v>1818.2267805081224</v>
      </c>
      <c r="O13" s="36">
        <v>3.0</v>
      </c>
      <c r="P13" s="36" t="s">
        <v>57</v>
      </c>
      <c r="Q13" s="36">
        <v>2.165</v>
      </c>
      <c r="R13" s="36">
        <v>0.001</v>
      </c>
      <c r="S13" s="36"/>
      <c r="T13" s="53" t="s">
        <v>56</v>
      </c>
      <c r="U13" s="36">
        <v>11.0</v>
      </c>
      <c r="V13" s="36">
        <v>-11.0</v>
      </c>
      <c r="W13" s="36">
        <v>15.0</v>
      </c>
      <c r="X13" s="36">
        <v>-7.0</v>
      </c>
      <c r="Y13" s="55">
        <v>4.22</v>
      </c>
      <c r="Z13" s="55">
        <v>0.6472000000000001</v>
      </c>
      <c r="AA13" s="54">
        <v>0.7345971563981043</v>
      </c>
      <c r="AB13" s="54">
        <v>0.11289840749309317</v>
      </c>
      <c r="AC13" s="56">
        <v>-0.04770945558879019</v>
      </c>
      <c r="AD13" s="55">
        <v>3.368</v>
      </c>
      <c r="AE13" s="36">
        <v>0.09</v>
      </c>
      <c r="AF13" s="55">
        <v>0.6428147268408552</v>
      </c>
      <c r="AG13" s="55">
        <v>0.01747426526593734</v>
      </c>
      <c r="AH13" s="56">
        <v>-0.1666910484920565</v>
      </c>
    </row>
    <row r="14">
      <c r="A14" s="53"/>
      <c r="B14" s="54"/>
      <c r="C14" s="54"/>
      <c r="D14" s="55"/>
      <c r="E14" s="55"/>
      <c r="F14" s="36"/>
      <c r="G14" s="54"/>
      <c r="H14" s="54"/>
      <c r="I14" s="36"/>
      <c r="J14" s="36"/>
      <c r="K14" s="52"/>
      <c r="L14" s="36"/>
      <c r="M14" s="54"/>
      <c r="N14" s="54"/>
      <c r="O14" s="36"/>
      <c r="P14" s="36"/>
      <c r="Q14" s="36"/>
      <c r="R14" s="36"/>
      <c r="S14" s="36"/>
      <c r="T14" s="53"/>
      <c r="U14" s="36"/>
      <c r="V14" s="36"/>
      <c r="W14" s="36"/>
      <c r="X14" s="36"/>
      <c r="Y14" s="55"/>
      <c r="Z14" s="55"/>
      <c r="AA14" s="36"/>
      <c r="AB14" s="55"/>
      <c r="AC14" s="56"/>
      <c r="AD14" s="55"/>
      <c r="AE14" s="36"/>
      <c r="AF14" s="55"/>
      <c r="AG14" s="55"/>
      <c r="AH14" s="56"/>
    </row>
    <row r="15">
      <c r="A15" s="53" t="s">
        <v>61</v>
      </c>
      <c r="B15" s="54">
        <v>48.022578053614026</v>
      </c>
      <c r="C15" s="54">
        <v>15.542164368637517</v>
      </c>
      <c r="D15" s="55">
        <v>0.5422714572364411</v>
      </c>
      <c r="E15" s="55">
        <v>0.03366651136925315</v>
      </c>
      <c r="F15" s="36">
        <v>16.0</v>
      </c>
      <c r="G15" s="54">
        <v>0.5357142857142857</v>
      </c>
      <c r="H15" s="54">
        <v>0.13201530612244902</v>
      </c>
      <c r="I15" s="36">
        <v>-1.0</v>
      </c>
      <c r="J15" s="58">
        <v>3.484444444444445E-4</v>
      </c>
      <c r="K15" s="58">
        <v>1.3694092325925935E-4</v>
      </c>
      <c r="L15" s="36">
        <v>-4.0</v>
      </c>
      <c r="M15" s="54">
        <v>1537.4453352769676</v>
      </c>
      <c r="N15" s="54">
        <v>995.1664020199919</v>
      </c>
      <c r="O15" s="36">
        <v>3.0</v>
      </c>
      <c r="P15" s="36"/>
      <c r="Q15" s="36"/>
      <c r="R15" s="36"/>
      <c r="S15" s="36"/>
      <c r="T15" s="53" t="s">
        <v>61</v>
      </c>
      <c r="U15" s="36">
        <v>12.0</v>
      </c>
      <c r="V15" s="36">
        <v>-4.0</v>
      </c>
      <c r="W15" s="36">
        <v>8.0</v>
      </c>
      <c r="X15" s="36">
        <v>-8.0</v>
      </c>
      <c r="Y15" s="55">
        <v>5.43</v>
      </c>
      <c r="Z15" s="55">
        <v>0.6472000000000001</v>
      </c>
      <c r="AA15" s="55">
        <v>0.5709023941068141</v>
      </c>
      <c r="AB15" s="55">
        <v>0.06822983968065012</v>
      </c>
      <c r="AC15" s="56">
        <v>0.052798163149290256</v>
      </c>
      <c r="AD15" s="55">
        <v>4.053</v>
      </c>
      <c r="AE15" s="36">
        <v>0.07</v>
      </c>
      <c r="AF15" s="55">
        <v>0.534172218110042</v>
      </c>
      <c r="AG15" s="55">
        <v>0.009472503150185774</v>
      </c>
      <c r="AH15" s="56">
        <v>-0.014935765138137568</v>
      </c>
    </row>
    <row r="16">
      <c r="A16" s="53" t="s">
        <v>62</v>
      </c>
      <c r="B16" s="54">
        <v>67.9141811835415</v>
      </c>
      <c r="C16" s="54">
        <v>21.131012373964776</v>
      </c>
      <c r="D16" s="55">
        <v>0.6568358496103371</v>
      </c>
      <c r="E16" s="55">
        <v>0.057318380275890216</v>
      </c>
      <c r="F16" s="36">
        <v>22.0</v>
      </c>
      <c r="G16" s="54">
        <v>1.0714285714285714</v>
      </c>
      <c r="H16" s="54">
        <v>0.23724489795918374</v>
      </c>
      <c r="I16" s="36">
        <v>0.0</v>
      </c>
      <c r="J16" s="58">
        <v>3.484444444444445E-4</v>
      </c>
      <c r="K16" s="58">
        <v>1.3694092325925935E-4</v>
      </c>
      <c r="L16" s="36">
        <v>-4.0</v>
      </c>
      <c r="M16" s="54">
        <v>3074.8906705539353</v>
      </c>
      <c r="N16" s="54">
        <v>1913.4605372761353</v>
      </c>
      <c r="O16" s="36">
        <v>3.0</v>
      </c>
      <c r="P16" s="36"/>
      <c r="Q16" s="36"/>
      <c r="R16" s="36"/>
      <c r="S16" s="36"/>
      <c r="T16" s="53" t="s">
        <v>62</v>
      </c>
      <c r="U16" s="36">
        <v>9.0</v>
      </c>
      <c r="V16" s="36">
        <v>-13.0</v>
      </c>
      <c r="W16" s="36">
        <v>10.0</v>
      </c>
      <c r="X16" s="36">
        <v>-12.0</v>
      </c>
      <c r="Y16" s="55">
        <v>4.29</v>
      </c>
      <c r="Z16" s="55">
        <v>0.6472000000000001</v>
      </c>
      <c r="AA16" s="54">
        <v>0.7226107226107227</v>
      </c>
      <c r="AB16" s="54">
        <v>0.10924793931786941</v>
      </c>
      <c r="AC16" s="56">
        <v>0.1001389815117521</v>
      </c>
      <c r="AD16" s="55">
        <v>3.432</v>
      </c>
      <c r="AE16" s="36">
        <v>0.06</v>
      </c>
      <c r="AF16" s="55">
        <v>0.6308275058275058</v>
      </c>
      <c r="AG16" s="55">
        <v>0.011319828190457563</v>
      </c>
      <c r="AH16" s="56">
        <v>-0.0395964133173617</v>
      </c>
    </row>
    <row r="17">
      <c r="A17" s="53" t="s">
        <v>63</v>
      </c>
      <c r="B17" s="54">
        <v>83.17754509930161</v>
      </c>
      <c r="C17" s="54">
        <v>25.53352592774515</v>
      </c>
      <c r="D17" s="55">
        <v>0.7714002419842331</v>
      </c>
      <c r="E17" s="55">
        <v>0.08097024918252728</v>
      </c>
      <c r="F17" s="36">
        <v>27.0</v>
      </c>
      <c r="G17" s="54">
        <v>1.607142857142857</v>
      </c>
      <c r="H17" s="54">
        <v>0.3424744897959185</v>
      </c>
      <c r="I17" s="36">
        <v>1.0</v>
      </c>
      <c r="J17" s="58">
        <v>3.484444444444445E-4</v>
      </c>
      <c r="K17" s="58">
        <v>1.3694092325925935E-4</v>
      </c>
      <c r="L17" s="36">
        <v>-4.0</v>
      </c>
      <c r="M17" s="54">
        <v>4612.336005830903</v>
      </c>
      <c r="N17" s="54">
        <v>2831.754672532279</v>
      </c>
      <c r="O17" s="36">
        <v>3.0</v>
      </c>
      <c r="P17" s="36"/>
      <c r="Q17" s="36"/>
      <c r="R17" s="36"/>
      <c r="S17" s="36"/>
      <c r="T17" s="53" t="s">
        <v>63</v>
      </c>
      <c r="U17" s="36">
        <v>9.0</v>
      </c>
      <c r="V17" s="36">
        <v>-18.0</v>
      </c>
      <c r="W17" s="36">
        <v>16.0</v>
      </c>
      <c r="X17" s="36">
        <v>-11.0</v>
      </c>
      <c r="Y17" s="55">
        <v>4.0</v>
      </c>
      <c r="Z17" s="55">
        <v>0.6472000000000001</v>
      </c>
      <c r="AA17" s="54">
        <v>0.775</v>
      </c>
      <c r="AB17" s="54">
        <v>0.12564500000000003</v>
      </c>
      <c r="AC17" s="59">
        <v>0.0046665243538263354</v>
      </c>
      <c r="AD17" s="55">
        <v>3.542</v>
      </c>
      <c r="AE17" s="36">
        <v>0.06</v>
      </c>
      <c r="AF17" s="55">
        <v>0.6112365894974591</v>
      </c>
      <c r="AG17" s="55">
        <v>0.010636418794423362</v>
      </c>
      <c r="AH17" s="56">
        <v>-0.2076271742860662</v>
      </c>
    </row>
    <row r="18">
      <c r="A18" s="53"/>
      <c r="B18" s="54"/>
      <c r="C18" s="54"/>
      <c r="D18" s="55"/>
      <c r="E18" s="55"/>
      <c r="F18" s="36"/>
      <c r="G18" s="54"/>
      <c r="H18" s="54"/>
      <c r="I18" s="36"/>
      <c r="J18" s="36"/>
      <c r="K18" s="52"/>
      <c r="L18" s="36"/>
      <c r="M18" s="54"/>
      <c r="N18" s="54"/>
      <c r="O18" s="36"/>
      <c r="P18" s="36"/>
      <c r="Q18" s="36"/>
      <c r="R18" s="36"/>
      <c r="S18" s="36"/>
      <c r="T18" s="53"/>
      <c r="U18" s="36"/>
      <c r="V18" s="36"/>
      <c r="W18" s="36"/>
      <c r="X18" s="36"/>
      <c r="Y18" s="55"/>
      <c r="Z18" s="55"/>
      <c r="AA18" s="36"/>
      <c r="AB18" s="55"/>
      <c r="AC18" s="56"/>
      <c r="AD18" s="55"/>
      <c r="AE18" s="36"/>
      <c r="AF18" s="36"/>
      <c r="AG18" s="36"/>
      <c r="AH18" s="56"/>
    </row>
    <row r="19">
      <c r="A19" s="53" t="s">
        <v>64</v>
      </c>
      <c r="B19" s="54">
        <v>2.0558242966864095</v>
      </c>
      <c r="C19" s="54">
        <v>0.22059060384732598</v>
      </c>
      <c r="D19" s="55">
        <v>0.7835367374643875</v>
      </c>
      <c r="E19" s="55">
        <v>0.007933237396247995</v>
      </c>
      <c r="F19" s="36">
        <v>1.0</v>
      </c>
      <c r="G19" s="54">
        <v>0.19169329073482427</v>
      </c>
      <c r="H19" s="55">
        <v>0.017546366707836145</v>
      </c>
      <c r="I19" s="36">
        <v>-1.0</v>
      </c>
      <c r="J19" s="52">
        <v>0.06803402777777777</v>
      </c>
      <c r="K19" s="52">
        <v>0.005793353226851844</v>
      </c>
      <c r="L19" s="36">
        <v>-1.0</v>
      </c>
      <c r="M19" s="54">
        <v>2.8176090258974473</v>
      </c>
      <c r="N19" s="54">
        <v>0.6046606973467457</v>
      </c>
      <c r="O19" s="36">
        <v>0.0</v>
      </c>
      <c r="P19" s="36"/>
      <c r="Q19" s="36"/>
      <c r="R19" s="36"/>
      <c r="S19" s="36"/>
      <c r="T19" s="53" t="s">
        <v>64</v>
      </c>
      <c r="U19" s="36">
        <v>1.0</v>
      </c>
      <c r="V19" s="36">
        <v>0.0</v>
      </c>
      <c r="W19" s="36">
        <v>1.0</v>
      </c>
      <c r="X19" s="36">
        <v>0.0</v>
      </c>
      <c r="Y19" s="55">
        <v>4.99</v>
      </c>
      <c r="Z19" s="55">
        <v>0.6472000000000001</v>
      </c>
      <c r="AA19" s="55">
        <v>0.6212424849699398</v>
      </c>
      <c r="AB19" s="55">
        <v>0.08077517760972848</v>
      </c>
      <c r="AC19" s="56">
        <v>-0.20713036764510875</v>
      </c>
      <c r="AD19" s="55">
        <v>2.632</v>
      </c>
      <c r="AE19" s="36">
        <v>0.06</v>
      </c>
      <c r="AF19" s="55">
        <v>0.8077507598784194</v>
      </c>
      <c r="AG19" s="55">
        <v>0.018793710331574908</v>
      </c>
      <c r="AH19" s="56">
        <v>0.03090349342443241</v>
      </c>
    </row>
    <row r="20">
      <c r="A20" s="53" t="s">
        <v>66</v>
      </c>
      <c r="B20" s="54">
        <v>2.9073746022300497</v>
      </c>
      <c r="C20" s="54">
        <v>0.2756200411650834</v>
      </c>
      <c r="D20" s="55">
        <v>0.8520676474466955</v>
      </c>
      <c r="E20" s="55">
        <v>0.01092479012710508</v>
      </c>
      <c r="F20" s="36">
        <v>1.0</v>
      </c>
      <c r="G20" s="54">
        <v>0.38338658146964855</v>
      </c>
      <c r="H20" s="55">
        <v>0.025508068878931072</v>
      </c>
      <c r="I20" s="36">
        <v>-1.0</v>
      </c>
      <c r="J20" s="52">
        <v>0.06803402777777777</v>
      </c>
      <c r="K20" s="52">
        <v>0.005793353226851844</v>
      </c>
      <c r="L20" s="36">
        <v>-1.0</v>
      </c>
      <c r="M20" s="54">
        <v>5.635218051794895</v>
      </c>
      <c r="N20" s="54">
        <v>1.068440943398619</v>
      </c>
      <c r="O20" s="36">
        <v>1.0</v>
      </c>
      <c r="P20" s="36"/>
      <c r="Q20" s="36"/>
      <c r="R20" s="36"/>
      <c r="S20" s="36"/>
      <c r="T20" s="53" t="s">
        <v>66</v>
      </c>
      <c r="U20" s="36">
        <v>1.0</v>
      </c>
      <c r="V20" s="36">
        <v>0.0</v>
      </c>
      <c r="W20" s="36">
        <v>1.0</v>
      </c>
      <c r="X20" s="36">
        <v>0.0</v>
      </c>
      <c r="Y20" s="55">
        <v>4.18</v>
      </c>
      <c r="Z20" s="55">
        <v>0.6472000000000001</v>
      </c>
      <c r="AA20" s="54">
        <v>0.7416267942583733</v>
      </c>
      <c r="AB20" s="54">
        <v>0.11506719168517208</v>
      </c>
      <c r="AC20" s="56">
        <v>-0.12961512330537261</v>
      </c>
      <c r="AD20" s="55">
        <v>2.549</v>
      </c>
      <c r="AE20" s="36">
        <v>0.09</v>
      </c>
      <c r="AF20" s="55">
        <v>0.8340525696351511</v>
      </c>
      <c r="AG20" s="55">
        <v>0.029841008735646758</v>
      </c>
      <c r="AH20" s="56">
        <v>-0.021142778822231294</v>
      </c>
    </row>
    <row r="21">
      <c r="A21" s="53" t="s">
        <v>67</v>
      </c>
      <c r="B21" s="54">
        <v>3.5607921332954144</v>
      </c>
      <c r="C21" s="54">
        <v>0.32272759798094364</v>
      </c>
      <c r="D21" s="55">
        <v>0.9205985574290033</v>
      </c>
      <c r="E21" s="55">
        <v>0.013916342857962165</v>
      </c>
      <c r="F21" s="36">
        <v>2.0</v>
      </c>
      <c r="G21" s="54">
        <v>0.5750798722044729</v>
      </c>
      <c r="H21" s="55">
        <v>0.033469771050026</v>
      </c>
      <c r="I21" s="36">
        <v>0.0</v>
      </c>
      <c r="J21" s="52">
        <v>0.06803402777777777</v>
      </c>
      <c r="K21" s="52">
        <v>0.005793353226851844</v>
      </c>
      <c r="L21" s="36">
        <v>-1.0</v>
      </c>
      <c r="M21" s="54">
        <v>8.45282707769234</v>
      </c>
      <c r="N21" s="54">
        <v>1.5322211894504922</v>
      </c>
      <c r="O21" s="36">
        <v>1.0</v>
      </c>
      <c r="P21" s="36"/>
      <c r="Q21" s="36"/>
      <c r="R21" s="36"/>
      <c r="S21" s="36"/>
      <c r="T21" s="53" t="s">
        <v>67</v>
      </c>
      <c r="U21" s="36">
        <v>1.0</v>
      </c>
      <c r="V21" s="36">
        <v>-1.0</v>
      </c>
      <c r="W21" s="36">
        <v>2.0</v>
      </c>
      <c r="X21" s="36">
        <v>0.0</v>
      </c>
      <c r="Y21" s="55">
        <v>4.1</v>
      </c>
      <c r="Z21" s="55">
        <v>0.6472000000000001</v>
      </c>
      <c r="AA21" s="54">
        <v>0.7560975609756099</v>
      </c>
      <c r="AB21" s="54">
        <v>0.11959666864961337</v>
      </c>
      <c r="AC21" s="56">
        <v>-0.1786891746960833</v>
      </c>
      <c r="AD21" s="55">
        <v>2.603</v>
      </c>
      <c r="AE21" s="36">
        <v>0.06</v>
      </c>
      <c r="AF21" s="55">
        <v>0.8167499039569727</v>
      </c>
      <c r="AG21" s="55">
        <v>0.019210524101966327</v>
      </c>
      <c r="AH21" s="56">
        <v>-0.11280557918975391</v>
      </c>
    </row>
    <row r="22">
      <c r="A22" s="53"/>
      <c r="B22" s="54"/>
      <c r="C22" s="54"/>
      <c r="D22" s="55"/>
      <c r="E22" s="55"/>
      <c r="F22" s="36"/>
      <c r="G22" s="54"/>
      <c r="H22" s="54"/>
      <c r="I22" s="36"/>
      <c r="J22" s="36"/>
      <c r="K22" s="52"/>
      <c r="L22" s="36"/>
      <c r="M22" s="54"/>
      <c r="N22" s="54"/>
      <c r="O22" s="36"/>
      <c r="P22" s="36"/>
      <c r="Q22" s="36"/>
      <c r="R22" s="36"/>
      <c r="S22" s="36"/>
      <c r="T22" s="53"/>
      <c r="U22" s="36"/>
      <c r="V22" s="36"/>
      <c r="W22" s="36"/>
      <c r="X22" s="36"/>
      <c r="Y22" s="55"/>
      <c r="Z22" s="55"/>
      <c r="AA22" s="55"/>
      <c r="AB22" s="55"/>
      <c r="AC22" s="56"/>
      <c r="AD22" s="55"/>
      <c r="AE22" s="36"/>
      <c r="AF22" s="36"/>
      <c r="AG22" s="36"/>
      <c r="AH22" s="56"/>
    </row>
    <row r="23">
      <c r="A23" s="53" t="s">
        <v>68</v>
      </c>
      <c r="B23" s="54">
        <v>8.223297186745638</v>
      </c>
      <c r="C23" s="54">
        <v>0.7590129575881194</v>
      </c>
      <c r="D23" s="55">
        <v>0.7835367374643875</v>
      </c>
      <c r="E23" s="55">
        <v>0.007933237396247995</v>
      </c>
      <c r="F23" s="36">
        <v>3.0</v>
      </c>
      <c r="G23" s="54">
        <v>0.19169329073482427</v>
      </c>
      <c r="H23" s="55">
        <v>0.017546366707836145</v>
      </c>
      <c r="I23" s="36">
        <v>-1.0</v>
      </c>
      <c r="J23" s="58">
        <v>0.004252126736111111</v>
      </c>
      <c r="K23" s="58">
        <v>3.554299983362264E-4</v>
      </c>
      <c r="L23" s="36">
        <v>-3.0</v>
      </c>
      <c r="M23" s="54">
        <v>45.08174441435916</v>
      </c>
      <c r="N23" s="54">
        <v>8.322118825117157</v>
      </c>
      <c r="O23" s="36">
        <v>1.0</v>
      </c>
      <c r="P23" s="36"/>
      <c r="Q23" s="36"/>
      <c r="R23" s="36"/>
      <c r="S23" s="36"/>
      <c r="T23" s="53" t="s">
        <v>68</v>
      </c>
      <c r="U23" s="36">
        <v>2.0</v>
      </c>
      <c r="V23" s="36">
        <v>-1.0</v>
      </c>
      <c r="W23" s="36">
        <v>3.0</v>
      </c>
      <c r="X23" s="36">
        <v>0.0</v>
      </c>
      <c r="Y23" s="55">
        <v>4.89</v>
      </c>
      <c r="Z23" s="55">
        <v>0.6472000000000001</v>
      </c>
      <c r="AA23" s="55">
        <v>0.6339468302658487</v>
      </c>
      <c r="AB23" s="55">
        <v>0.08410846391575816</v>
      </c>
      <c r="AC23" s="56">
        <v>-0.1909162647339656</v>
      </c>
      <c r="AD23" s="55">
        <v>2.542</v>
      </c>
      <c r="AE23" s="36">
        <v>0.09</v>
      </c>
      <c r="AF23" s="55">
        <v>0.8363493312352479</v>
      </c>
      <c r="AG23" s="55">
        <v>0.030004500319107914</v>
      </c>
      <c r="AH23" s="56">
        <v>0.06740283032773665</v>
      </c>
    </row>
    <row r="24">
      <c r="A24" s="53" t="s">
        <v>69</v>
      </c>
      <c r="B24" s="54">
        <v>11.629498408920199</v>
      </c>
      <c r="C24" s="54">
        <v>0.9280376885265305</v>
      </c>
      <c r="D24" s="55">
        <v>0.8520676474466955</v>
      </c>
      <c r="E24" s="55">
        <v>0.01092479012710508</v>
      </c>
      <c r="F24" s="36">
        <v>4.0</v>
      </c>
      <c r="G24" s="54">
        <v>0.38338658146964855</v>
      </c>
      <c r="H24" s="55">
        <v>0.025508068878931072</v>
      </c>
      <c r="I24" s="36">
        <v>-1.0</v>
      </c>
      <c r="J24" s="58">
        <v>0.004252126736111111</v>
      </c>
      <c r="K24" s="58">
        <v>3.554299983362264E-4</v>
      </c>
      <c r="L24" s="36">
        <v>-3.0</v>
      </c>
      <c r="M24" s="54">
        <v>90.16348882871831</v>
      </c>
      <c r="N24" s="54">
        <v>14.390150429516353</v>
      </c>
      <c r="O24" s="36">
        <v>2.0</v>
      </c>
      <c r="P24" s="36"/>
      <c r="Q24" s="36"/>
      <c r="R24" s="36"/>
      <c r="S24" s="36"/>
      <c r="T24" s="53" t="s">
        <v>69</v>
      </c>
      <c r="U24" s="36">
        <v>3.0</v>
      </c>
      <c r="V24" s="36">
        <v>-1.0</v>
      </c>
      <c r="W24" s="36">
        <v>4.0</v>
      </c>
      <c r="X24" s="36">
        <v>0.0</v>
      </c>
      <c r="Y24" s="55">
        <v>3.49</v>
      </c>
      <c r="Z24" s="55">
        <v>0.6472000000000001</v>
      </c>
      <c r="AA24" s="54">
        <v>0.8882521489971347</v>
      </c>
      <c r="AB24" s="54">
        <v>0.16500767645585834</v>
      </c>
      <c r="AC24" s="56">
        <v>0.04246670045373697</v>
      </c>
      <c r="AD24" s="55">
        <v>2.509</v>
      </c>
      <c r="AE24" s="36">
        <v>0.08</v>
      </c>
      <c r="AF24" s="55">
        <v>0.8473495416500598</v>
      </c>
      <c r="AG24" s="55">
        <v>0.027416485983262167</v>
      </c>
      <c r="AH24" s="56">
        <v>-0.005537243211585304</v>
      </c>
    </row>
    <row r="25">
      <c r="A25" s="53" t="s">
        <v>70</v>
      </c>
      <c r="B25" s="54">
        <v>14.243168533181658</v>
      </c>
      <c r="C25" s="54">
        <v>1.0772628639260495</v>
      </c>
      <c r="D25" s="55">
        <v>0.9205985574290033</v>
      </c>
      <c r="E25" s="55">
        <v>0.013916342857962165</v>
      </c>
      <c r="F25" s="36">
        <v>5.0</v>
      </c>
      <c r="G25" s="54">
        <v>0.5750798722044729</v>
      </c>
      <c r="H25" s="55">
        <v>0.033469771050026</v>
      </c>
      <c r="I25" s="36">
        <v>0.0</v>
      </c>
      <c r="J25" s="58">
        <v>0.004252126736111111</v>
      </c>
      <c r="K25" s="58">
        <v>3.554299983362264E-4</v>
      </c>
      <c r="L25" s="36">
        <v>-3.0</v>
      </c>
      <c r="M25" s="54">
        <v>135.24523324307745</v>
      </c>
      <c r="N25" s="54">
        <v>20.458182033915552</v>
      </c>
      <c r="O25" s="36">
        <v>2.0</v>
      </c>
      <c r="P25" s="36"/>
      <c r="Q25" s="36"/>
      <c r="R25" s="36"/>
      <c r="S25" s="36"/>
      <c r="T25" s="53" t="s">
        <v>70</v>
      </c>
      <c r="U25" s="36">
        <v>4.0</v>
      </c>
      <c r="V25" s="36">
        <v>-1.0</v>
      </c>
      <c r="W25" s="36">
        <v>4.0</v>
      </c>
      <c r="X25" s="36">
        <v>-1.0</v>
      </c>
      <c r="Y25" s="55">
        <v>3.51</v>
      </c>
      <c r="Z25" s="55">
        <v>0.6472000000000001</v>
      </c>
      <c r="AA25" s="54">
        <v>0.8831908831908832</v>
      </c>
      <c r="AB25" s="54">
        <v>0.1631342278065925</v>
      </c>
      <c r="AC25" s="56">
        <v>-0.04063407870482674</v>
      </c>
      <c r="AD25" s="55">
        <v>2.37</v>
      </c>
      <c r="AE25" s="36">
        <v>0.07</v>
      </c>
      <c r="AF25" s="55">
        <v>0.8970464135021096</v>
      </c>
      <c r="AG25" s="55">
        <v>0.026916982677277504</v>
      </c>
      <c r="AH25" s="56">
        <v>-0.025583511658620103</v>
      </c>
    </row>
    <row r="26">
      <c r="A26" s="53"/>
      <c r="B26" s="54"/>
      <c r="C26" s="54"/>
      <c r="D26" s="55"/>
      <c r="E26" s="55"/>
      <c r="F26" s="36"/>
      <c r="G26" s="54"/>
      <c r="H26" s="55"/>
      <c r="I26" s="36"/>
      <c r="J26" s="36"/>
      <c r="K26" s="52"/>
      <c r="L26" s="36"/>
      <c r="M26" s="54"/>
      <c r="N26" s="54"/>
      <c r="O26" s="36"/>
      <c r="P26" s="36"/>
      <c r="Q26" s="36"/>
      <c r="R26" s="36"/>
      <c r="S26" s="36"/>
      <c r="T26" s="53"/>
      <c r="U26" s="36"/>
      <c r="V26" s="36"/>
      <c r="W26" s="36"/>
      <c r="X26" s="36"/>
      <c r="Y26" s="55"/>
      <c r="Z26" s="55"/>
      <c r="AA26" s="36"/>
      <c r="AB26" s="55"/>
      <c r="AC26" s="56"/>
      <c r="AD26" s="55"/>
      <c r="AE26" s="36"/>
      <c r="AF26" s="36"/>
      <c r="AG26" s="36"/>
      <c r="AH26" s="56"/>
    </row>
    <row r="27">
      <c r="A27" s="53" t="s">
        <v>75</v>
      </c>
      <c r="B27" s="54">
        <v>10.279121483432048</v>
      </c>
      <c r="C27" s="54">
        <v>0.938487075501717</v>
      </c>
      <c r="D27" s="55">
        <v>0.7835367374643875</v>
      </c>
      <c r="E27" s="55">
        <v>0.007933237396247995</v>
      </c>
      <c r="F27" s="36">
        <v>4.0</v>
      </c>
      <c r="G27" s="54">
        <v>0.19169329073482427</v>
      </c>
      <c r="H27" s="55">
        <v>0.017546366707836145</v>
      </c>
      <c r="I27" s="36">
        <v>-1.0</v>
      </c>
      <c r="J27" s="58">
        <v>0.002721361111111111</v>
      </c>
      <c r="K27" s="58">
        <v>2.2719127025925897E-4</v>
      </c>
      <c r="L27" s="36">
        <v>-3.0</v>
      </c>
      <c r="M27" s="54">
        <v>70.44022564743616</v>
      </c>
      <c r="N27" s="54">
        <v>12.862430212950681</v>
      </c>
      <c r="O27" s="36">
        <v>2.0</v>
      </c>
      <c r="P27" s="36"/>
      <c r="Q27" s="36"/>
      <c r="R27" s="36"/>
      <c r="S27" s="36"/>
      <c r="T27" s="53" t="s">
        <v>75</v>
      </c>
      <c r="U27" s="36">
        <v>3.0</v>
      </c>
      <c r="V27" s="36">
        <v>-1.0</v>
      </c>
      <c r="W27" s="36">
        <v>4.0</v>
      </c>
      <c r="X27" s="36">
        <v>0.0</v>
      </c>
      <c r="Y27" s="55">
        <v>4.29</v>
      </c>
      <c r="Z27" s="55">
        <v>0.6472000000000001</v>
      </c>
      <c r="AA27" s="54">
        <v>0.7226107226107227</v>
      </c>
      <c r="AB27" s="54">
        <v>0.10924793931786941</v>
      </c>
      <c r="AC27" s="56">
        <v>-0.0777577003610937</v>
      </c>
      <c r="AD27" s="55">
        <v>2.576</v>
      </c>
      <c r="AE27" s="36">
        <v>0.08</v>
      </c>
      <c r="AF27" s="55">
        <v>0.8404503105590062</v>
      </c>
      <c r="AG27" s="55">
        <v>0.02648914007947224</v>
      </c>
      <c r="AH27" s="56">
        <v>0.07263676401287505</v>
      </c>
    </row>
    <row r="28">
      <c r="A28" s="53" t="s">
        <v>76</v>
      </c>
      <c r="B28" s="54">
        <v>14.536873011150247</v>
      </c>
      <c r="C28" s="54">
        <v>1.1455102376470125</v>
      </c>
      <c r="D28" s="55">
        <v>0.8520676474466955</v>
      </c>
      <c r="E28" s="55">
        <v>0.01092479012710508</v>
      </c>
      <c r="F28" s="36">
        <v>5.0</v>
      </c>
      <c r="G28" s="54">
        <v>0.38338658146964855</v>
      </c>
      <c r="H28" s="55">
        <v>0.025508068878931072</v>
      </c>
      <c r="I28" s="36">
        <v>-1.0</v>
      </c>
      <c r="J28" s="58">
        <v>0.002721361111111111</v>
      </c>
      <c r="K28" s="58">
        <v>2.2719127025925897E-4</v>
      </c>
      <c r="L28" s="36">
        <v>-3.0</v>
      </c>
      <c r="M28" s="54">
        <v>140.88045129487233</v>
      </c>
      <c r="N28" s="54">
        <v>22.202849143529555</v>
      </c>
      <c r="O28" s="36">
        <v>2.0</v>
      </c>
      <c r="P28" s="36"/>
      <c r="Q28" s="36"/>
      <c r="R28" s="36"/>
      <c r="S28" s="36"/>
      <c r="T28" s="53" t="s">
        <v>76</v>
      </c>
      <c r="U28" s="36">
        <v>4.0</v>
      </c>
      <c r="V28" s="36">
        <v>-1.0</v>
      </c>
      <c r="W28" s="36">
        <v>6.0</v>
      </c>
      <c r="X28" s="36">
        <v>1.0</v>
      </c>
      <c r="Y28" s="55">
        <v>3.81</v>
      </c>
      <c r="Z28" s="55">
        <v>0.6472000000000001</v>
      </c>
      <c r="AA28" s="54">
        <v>0.8136482939632546</v>
      </c>
      <c r="AB28" s="54">
        <v>0.13847589917402062</v>
      </c>
      <c r="AC28" s="56">
        <v>-0.045089557852088756</v>
      </c>
      <c r="AD28" s="55">
        <v>2.441</v>
      </c>
      <c r="AE28" s="36">
        <v>0.08</v>
      </c>
      <c r="AF28" s="55">
        <v>0.8869315854158133</v>
      </c>
      <c r="AG28" s="55">
        <v>0.02947747924345148</v>
      </c>
      <c r="AH28" s="56">
        <v>0.04091686625303873</v>
      </c>
    </row>
    <row r="29">
      <c r="A29" s="53" t="s">
        <v>77</v>
      </c>
      <c r="B29" s="54">
        <v>17.80396066647707</v>
      </c>
      <c r="C29" s="54">
        <v>1.3287746192410845</v>
      </c>
      <c r="D29" s="55">
        <v>0.9205985574290033</v>
      </c>
      <c r="E29" s="55">
        <v>0.013916342857962165</v>
      </c>
      <c r="F29" s="36">
        <v>6.0</v>
      </c>
      <c r="G29" s="54">
        <v>0.5750798722044729</v>
      </c>
      <c r="H29" s="55">
        <v>0.033469771050026</v>
      </c>
      <c r="I29" s="36">
        <v>0.0</v>
      </c>
      <c r="J29" s="58">
        <v>0.002721361111111111</v>
      </c>
      <c r="K29" s="58">
        <v>2.2719127025925897E-4</v>
      </c>
      <c r="L29" s="36">
        <v>-3.0</v>
      </c>
      <c r="M29" s="54">
        <v>211.3206769423085</v>
      </c>
      <c r="N29" s="54">
        <v>31.543268074108425</v>
      </c>
      <c r="O29" s="36">
        <v>2.0</v>
      </c>
      <c r="P29" s="36"/>
      <c r="Q29" s="36"/>
      <c r="R29" s="36"/>
      <c r="S29" s="36"/>
      <c r="T29" s="53" t="s">
        <v>77</v>
      </c>
      <c r="U29" s="36">
        <v>5.0</v>
      </c>
      <c r="V29" s="36">
        <v>-1.0</v>
      </c>
      <c r="W29" s="36">
        <v>5.0</v>
      </c>
      <c r="X29" s="36">
        <v>-1.0</v>
      </c>
      <c r="Y29" s="55">
        <v>3.5</v>
      </c>
      <c r="Z29" s="55">
        <v>0.6472000000000001</v>
      </c>
      <c r="AA29" s="54">
        <v>0.8857142857142858</v>
      </c>
      <c r="AB29" s="54">
        <v>0.1640669387755102</v>
      </c>
      <c r="AC29" s="56">
        <v>-0.03789303321541193</v>
      </c>
      <c r="AD29" s="55">
        <v>2.228</v>
      </c>
      <c r="AE29" s="36">
        <v>0.06</v>
      </c>
      <c r="AF29" s="55">
        <v>0.9717235188509874</v>
      </c>
      <c r="AG29" s="55">
        <v>0.026617329951103785</v>
      </c>
      <c r="AH29" s="56">
        <v>0.05553447918141763</v>
      </c>
    </row>
    <row r="30">
      <c r="A30" s="53"/>
      <c r="B30" s="54"/>
      <c r="C30" s="54"/>
      <c r="D30" s="55"/>
      <c r="E30" s="55"/>
      <c r="F30" s="36"/>
      <c r="G30" s="54"/>
      <c r="H30" s="55"/>
      <c r="I30" s="36"/>
      <c r="J30" s="36"/>
      <c r="K30" s="52"/>
      <c r="L30" s="36"/>
      <c r="M30" s="54"/>
      <c r="N30" s="54"/>
      <c r="O30" s="36"/>
      <c r="P30" s="36"/>
      <c r="Q30" s="36"/>
      <c r="R30" s="36"/>
      <c r="S30" s="36"/>
      <c r="T30" s="53"/>
      <c r="U30" s="36"/>
      <c r="V30" s="36"/>
      <c r="W30" s="36"/>
      <c r="X30" s="36"/>
      <c r="Y30" s="55"/>
      <c r="Z30" s="55"/>
      <c r="AA30" s="36"/>
      <c r="AB30" s="55"/>
      <c r="AC30" s="56"/>
      <c r="AD30" s="55"/>
      <c r="AE30" s="36"/>
      <c r="AF30" s="36"/>
      <c r="AG30" s="36"/>
      <c r="AH30" s="56"/>
    </row>
    <row r="31">
      <c r="A31" s="53" t="s">
        <v>78</v>
      </c>
      <c r="B31" s="54">
        <v>1.5614235791172821</v>
      </c>
      <c r="C31" s="54">
        <v>0.1512421456155622</v>
      </c>
      <c r="D31" s="55">
        <v>0.8461931858632628</v>
      </c>
      <c r="E31" s="55">
        <v>0.006780840817212851</v>
      </c>
      <c r="F31" s="36">
        <v>1.0</v>
      </c>
      <c r="G31" s="54">
        <v>0.1595744680851064</v>
      </c>
      <c r="H31" s="55">
        <v>0.013495925758261652</v>
      </c>
      <c r="I31" s="36">
        <v>-1.0</v>
      </c>
      <c r="J31" s="52">
        <v>0.09817777777777775</v>
      </c>
      <c r="K31" s="52">
        <v>0.007034987851851841</v>
      </c>
      <c r="L31" s="36">
        <v>-1.0</v>
      </c>
      <c r="M31" s="54">
        <v>1.6253623956156158</v>
      </c>
      <c r="N31" s="54">
        <v>0.31487073642723773</v>
      </c>
      <c r="O31" s="36">
        <v>0.0</v>
      </c>
      <c r="P31" s="36"/>
      <c r="Q31" s="36"/>
      <c r="R31" s="36"/>
      <c r="S31" s="36"/>
      <c r="T31" s="53" t="s">
        <v>78</v>
      </c>
      <c r="U31" s="36">
        <v>1.0</v>
      </c>
      <c r="V31" s="36">
        <v>0.0</v>
      </c>
      <c r="W31" s="36">
        <v>1.0</v>
      </c>
      <c r="X31" s="36">
        <v>0.0</v>
      </c>
      <c r="Y31" s="55">
        <v>4.18</v>
      </c>
      <c r="Z31" s="55">
        <v>0.6472000000000001</v>
      </c>
      <c r="AA31" s="54">
        <v>0.7416267942583733</v>
      </c>
      <c r="AB31" s="54">
        <v>0.11506719168517208</v>
      </c>
      <c r="AC31" s="56">
        <v>-0.12357271761555694</v>
      </c>
      <c r="AD31" s="55">
        <v>2.414</v>
      </c>
      <c r="AE31" s="36">
        <v>0.06</v>
      </c>
      <c r="AF31" s="55">
        <v>0.88069594034797</v>
      </c>
      <c r="AG31" s="55">
        <v>0.022303958749328164</v>
      </c>
      <c r="AH31" s="56">
        <v>0.04077408688833691</v>
      </c>
    </row>
    <row r="32">
      <c r="A32" s="53" t="s">
        <v>80</v>
      </c>
      <c r="B32" s="54">
        <v>2.2081864021968</v>
      </c>
      <c r="C32" s="54">
        <v>0.18628636350447458</v>
      </c>
      <c r="D32" s="55">
        <v>0.9087197759516812</v>
      </c>
      <c r="E32" s="55">
        <v>0.009052961532811855</v>
      </c>
      <c r="F32" s="36">
        <v>1.0</v>
      </c>
      <c r="G32" s="54">
        <v>0.3191489361702128</v>
      </c>
      <c r="H32" s="55">
        <v>0.019013128112267984</v>
      </c>
      <c r="I32" s="36">
        <v>-1.0</v>
      </c>
      <c r="J32" s="52">
        <v>0.09817777777777775</v>
      </c>
      <c r="K32" s="52">
        <v>0.007034987851851841</v>
      </c>
      <c r="L32" s="36">
        <v>-1.0</v>
      </c>
      <c r="M32" s="54">
        <v>3.2507247912312316</v>
      </c>
      <c r="N32" s="54">
        <v>0.5484733530736947</v>
      </c>
      <c r="O32" s="36">
        <v>0.0</v>
      </c>
      <c r="P32" s="36"/>
      <c r="Q32" s="36"/>
      <c r="R32" s="36"/>
      <c r="S32" s="36"/>
      <c r="T32" s="53" t="s">
        <v>80</v>
      </c>
      <c r="U32" s="36">
        <v>2.0</v>
      </c>
      <c r="V32" s="36">
        <v>1.0</v>
      </c>
      <c r="W32" s="36">
        <v>1.0</v>
      </c>
      <c r="X32" s="36">
        <v>0.0</v>
      </c>
      <c r="Y32" s="55">
        <v>3.58</v>
      </c>
      <c r="Z32" s="55">
        <v>0.6472000000000001</v>
      </c>
      <c r="AA32" s="54">
        <v>0.8659217877094972</v>
      </c>
      <c r="AB32" s="54">
        <v>0.15682250866077843</v>
      </c>
      <c r="AC32" s="56">
        <v>-0.04709701425542611</v>
      </c>
      <c r="AD32" s="54">
        <v>2.264</v>
      </c>
      <c r="AE32" s="54">
        <v>0.12</v>
      </c>
      <c r="AF32" s="55">
        <v>0.9390459363957597</v>
      </c>
      <c r="AG32" s="55">
        <v>0.05021444892557032</v>
      </c>
      <c r="AH32" s="56">
        <v>0.03337240065268598</v>
      </c>
    </row>
    <row r="33">
      <c r="A33" s="53" t="s">
        <v>84</v>
      </c>
      <c r="B33" s="54">
        <v>2.7044649711671753</v>
      </c>
      <c r="C33" s="54">
        <v>0.21688466426576464</v>
      </c>
      <c r="D33" s="55">
        <v>0.9712463660400995</v>
      </c>
      <c r="E33" s="55">
        <v>0.011325082248410865</v>
      </c>
      <c r="F33" s="36">
        <v>1.0</v>
      </c>
      <c r="G33" s="54">
        <v>0.4787234042553192</v>
      </c>
      <c r="H33" s="55">
        <v>0.024530330466274314</v>
      </c>
      <c r="I33" s="36">
        <v>-1.0</v>
      </c>
      <c r="J33" s="52">
        <v>0.09817777777777775</v>
      </c>
      <c r="K33" s="52">
        <v>0.007034987851851841</v>
      </c>
      <c r="L33" s="36">
        <v>-1.0</v>
      </c>
      <c r="M33" s="54">
        <v>4.876087186846847</v>
      </c>
      <c r="N33" s="54">
        <v>0.7820759697201516</v>
      </c>
      <c r="O33" s="36">
        <v>0.0</v>
      </c>
      <c r="P33" s="36"/>
      <c r="Q33" s="36"/>
      <c r="R33" s="36"/>
      <c r="S33" s="36"/>
      <c r="T33" s="53" t="s">
        <v>84</v>
      </c>
      <c r="U33" s="36">
        <v>1.0</v>
      </c>
      <c r="V33" s="36">
        <v>0.0</v>
      </c>
      <c r="W33" s="36">
        <v>1.0</v>
      </c>
      <c r="X33" s="36">
        <v>0.0</v>
      </c>
      <c r="Y33" s="55">
        <v>3.51</v>
      </c>
      <c r="Z33" s="55">
        <v>0.6472000000000001</v>
      </c>
      <c r="AA33" s="54">
        <v>0.8831908831908832</v>
      </c>
      <c r="AB33" s="54">
        <v>0.1631342278065925</v>
      </c>
      <c r="AC33" s="56">
        <v>-0.09066235501938626</v>
      </c>
      <c r="AD33" s="55">
        <v>2.52</v>
      </c>
      <c r="AE33" s="36">
        <v>0.06</v>
      </c>
      <c r="AF33" s="55">
        <v>0.8436507936507937</v>
      </c>
      <c r="AG33" s="55">
        <v>0.020483749055177622</v>
      </c>
      <c r="AH33" s="56">
        <v>-0.131373024240523</v>
      </c>
    </row>
    <row r="34">
      <c r="A34" s="53"/>
      <c r="B34" s="54"/>
      <c r="C34" s="54"/>
      <c r="D34" s="55"/>
      <c r="E34" s="55"/>
      <c r="F34" s="36"/>
      <c r="G34" s="54"/>
      <c r="H34" s="55"/>
      <c r="I34" s="36"/>
      <c r="J34" s="36"/>
      <c r="K34" s="52"/>
      <c r="L34" s="36"/>
      <c r="M34" s="54"/>
      <c r="N34" s="54"/>
      <c r="O34" s="36"/>
      <c r="P34" s="36"/>
      <c r="Q34" s="36"/>
      <c r="R34" s="36"/>
      <c r="S34" s="36"/>
      <c r="T34" s="53"/>
      <c r="U34" s="36"/>
      <c r="V34" s="36"/>
      <c r="W34" s="36"/>
      <c r="X34" s="36"/>
      <c r="Y34" s="55"/>
      <c r="Z34" s="55"/>
      <c r="AA34" s="54"/>
      <c r="AB34" s="55"/>
      <c r="AC34" s="56"/>
      <c r="AD34" s="55"/>
      <c r="AE34" s="36"/>
      <c r="AF34" s="36"/>
      <c r="AG34" s="36"/>
      <c r="AH34" s="56"/>
    </row>
    <row r="35">
      <c r="A35" s="53" t="s">
        <v>85</v>
      </c>
      <c r="B35" s="54">
        <v>6.2456943164691285</v>
      </c>
      <c r="C35" s="54">
        <v>0.5112831677152119</v>
      </c>
      <c r="D35" s="55">
        <v>0.8461931858632628</v>
      </c>
      <c r="E35" s="55">
        <v>0.006780840817212851</v>
      </c>
      <c r="F35" s="36">
        <v>2.0</v>
      </c>
      <c r="G35" s="54">
        <v>0.1595744680851064</v>
      </c>
      <c r="H35" s="55">
        <v>0.013495925758261652</v>
      </c>
      <c r="I35" s="36">
        <v>-1.0</v>
      </c>
      <c r="J35" s="58">
        <v>0.0061361111111111095</v>
      </c>
      <c r="K35" s="58">
        <v>4.281508518518512E-4</v>
      </c>
      <c r="L35" s="36">
        <v>-2.0</v>
      </c>
      <c r="M35" s="54">
        <v>26.005798329849853</v>
      </c>
      <c r="N35" s="54">
        <v>4.2577578329403085</v>
      </c>
      <c r="O35" s="36">
        <v>1.0</v>
      </c>
      <c r="P35" s="36"/>
      <c r="Q35" s="36"/>
      <c r="R35" s="36"/>
      <c r="S35" s="36"/>
      <c r="T35" s="53" t="s">
        <v>85</v>
      </c>
      <c r="U35" s="36">
        <v>4.0</v>
      </c>
      <c r="V35" s="36">
        <v>2.0</v>
      </c>
      <c r="W35" s="36">
        <v>2.0</v>
      </c>
      <c r="X35" s="36">
        <v>0.0</v>
      </c>
      <c r="Y35" s="55">
        <v>3.33</v>
      </c>
      <c r="Z35" s="55">
        <v>0.6472000000000001</v>
      </c>
      <c r="AA35" s="54">
        <v>0.9309309309309309</v>
      </c>
      <c r="AB35" s="54">
        <v>0.18123078032987944</v>
      </c>
      <c r="AC35" s="56">
        <v>0.10013995206215362</v>
      </c>
      <c r="AD35" s="55">
        <v>2.404</v>
      </c>
      <c r="AE35" s="36">
        <v>0.06</v>
      </c>
      <c r="AF35" s="55">
        <v>0.8843594009983361</v>
      </c>
      <c r="AG35" s="55">
        <v>0.022488171405948484</v>
      </c>
      <c r="AH35" s="56">
        <v>0.04510343001183262</v>
      </c>
    </row>
    <row r="36">
      <c r="A36" s="53" t="s">
        <v>86</v>
      </c>
      <c r="B36" s="54">
        <v>8.8327456087872</v>
      </c>
      <c r="C36" s="54">
        <v>0.6126542698860904</v>
      </c>
      <c r="D36" s="55">
        <v>0.9087197759516812</v>
      </c>
      <c r="E36" s="55">
        <v>0.009052961532811855</v>
      </c>
      <c r="F36" s="36">
        <v>3.0</v>
      </c>
      <c r="G36" s="54">
        <v>0.3191489361702128</v>
      </c>
      <c r="H36" s="55">
        <v>0.019013128112267984</v>
      </c>
      <c r="I36" s="36">
        <v>-1.0</v>
      </c>
      <c r="J36" s="58">
        <v>0.0061361111111111095</v>
      </c>
      <c r="K36" s="58">
        <v>4.281508518518512E-4</v>
      </c>
      <c r="L36" s="36">
        <v>-2.0</v>
      </c>
      <c r="M36" s="54">
        <v>52.011596659699705</v>
      </c>
      <c r="N36" s="54">
        <v>7.215225749388123</v>
      </c>
      <c r="O36" s="36">
        <v>1.0</v>
      </c>
      <c r="P36" s="36"/>
      <c r="Q36" s="36"/>
      <c r="R36" s="36"/>
      <c r="S36" s="36"/>
      <c r="T36" s="53" t="s">
        <v>86</v>
      </c>
      <c r="U36" s="36">
        <v>6.0</v>
      </c>
      <c r="V36" s="36">
        <v>3.0</v>
      </c>
      <c r="W36" s="36">
        <v>3.0</v>
      </c>
      <c r="X36" s="36">
        <v>0.0</v>
      </c>
      <c r="Y36" s="55">
        <v>2.92</v>
      </c>
      <c r="Z36" s="55">
        <v>0.6472000000000001</v>
      </c>
      <c r="AA36" s="54">
        <v>1.0616438356164384</v>
      </c>
      <c r="AB36" s="54">
        <v>0.23564927753799972</v>
      </c>
      <c r="AC36" s="56">
        <v>0.16828516745396388</v>
      </c>
      <c r="AD36" s="55">
        <v>2.322</v>
      </c>
      <c r="AE36" s="36">
        <v>0.08</v>
      </c>
      <c r="AF36" s="55">
        <v>0.9155900086132643</v>
      </c>
      <c r="AG36" s="55">
        <v>0.03197553862577999</v>
      </c>
      <c r="AH36" s="56">
        <v>0.007560342410715248</v>
      </c>
    </row>
    <row r="37">
      <c r="A37" s="53" t="s">
        <v>87</v>
      </c>
      <c r="B37" s="54">
        <v>10.817859884668701</v>
      </c>
      <c r="C37" s="54">
        <v>0.705270758793028</v>
      </c>
      <c r="D37" s="55">
        <v>0.9712463660400995</v>
      </c>
      <c r="E37" s="55">
        <v>0.011325082248410865</v>
      </c>
      <c r="F37" s="36">
        <v>4.0</v>
      </c>
      <c r="G37" s="54">
        <v>0.4787234042553192</v>
      </c>
      <c r="H37" s="55">
        <v>0.024530330466274314</v>
      </c>
      <c r="I37" s="36">
        <v>-1.0</v>
      </c>
      <c r="J37" s="58">
        <v>0.0061361111111111095</v>
      </c>
      <c r="K37" s="58">
        <v>4.281508518518512E-4</v>
      </c>
      <c r="L37" s="36">
        <v>-2.0</v>
      </c>
      <c r="M37" s="54">
        <v>78.01739498954956</v>
      </c>
      <c r="N37" s="54">
        <v>10.17269366583594</v>
      </c>
      <c r="O37" s="36">
        <v>2.0</v>
      </c>
      <c r="P37" s="36"/>
      <c r="Q37" s="36"/>
      <c r="R37" s="36"/>
      <c r="S37" s="36"/>
      <c r="T37" s="53" t="s">
        <v>87</v>
      </c>
      <c r="U37" s="36">
        <v>7.0</v>
      </c>
      <c r="V37" s="36">
        <v>3.0</v>
      </c>
      <c r="W37" s="36">
        <v>4.0</v>
      </c>
      <c r="X37" s="36">
        <v>0.0</v>
      </c>
      <c r="Y37" s="55">
        <v>3.3</v>
      </c>
      <c r="Z37" s="55">
        <v>0.6472000000000001</v>
      </c>
      <c r="AA37" s="54">
        <v>0.9393939393939394</v>
      </c>
      <c r="AB37" s="54">
        <v>0.18453810835629023</v>
      </c>
      <c r="AC37" s="56">
        <v>-0.03279541397516537</v>
      </c>
      <c r="AD37" s="55">
        <v>2.004</v>
      </c>
      <c r="AE37" s="36">
        <v>0.06</v>
      </c>
      <c r="AF37" s="55">
        <v>1.060878243512974</v>
      </c>
      <c r="AG37" s="55">
        <v>0.03226182365807308</v>
      </c>
      <c r="AH37" s="56">
        <v>0.09228541861970158</v>
      </c>
    </row>
    <row r="38">
      <c r="A38" s="53"/>
      <c r="B38" s="54"/>
      <c r="C38" s="54"/>
      <c r="D38" s="55"/>
      <c r="E38" s="55"/>
      <c r="F38" s="36"/>
      <c r="G38" s="54"/>
      <c r="H38" s="54"/>
      <c r="I38" s="36"/>
      <c r="J38" s="36"/>
      <c r="K38" s="58"/>
      <c r="L38" s="36"/>
      <c r="M38" s="54"/>
      <c r="N38" s="54"/>
      <c r="O38" s="36"/>
      <c r="P38" s="36"/>
      <c r="Q38" s="36"/>
      <c r="R38" s="36"/>
      <c r="S38" s="36"/>
      <c r="T38" s="53"/>
      <c r="U38" s="36"/>
      <c r="V38" s="36"/>
      <c r="W38" s="36"/>
      <c r="X38" s="36"/>
      <c r="Y38" s="55"/>
      <c r="Z38" s="55"/>
      <c r="AA38" s="54"/>
      <c r="AB38" s="55"/>
      <c r="AC38" s="56"/>
      <c r="AD38" s="55"/>
      <c r="AE38" s="36"/>
      <c r="AF38" s="36"/>
      <c r="AG38" s="36"/>
      <c r="AH38" s="56"/>
    </row>
    <row r="39">
      <c r="A39" s="53" t="s">
        <v>88</v>
      </c>
      <c r="B39" s="54">
        <v>7.807117895586409</v>
      </c>
      <c r="C39" s="54">
        <v>0.6312968417484284</v>
      </c>
      <c r="D39" s="55">
        <v>0.8461931858632628</v>
      </c>
      <c r="E39" s="55">
        <v>0.006780840817212851</v>
      </c>
      <c r="F39" s="36">
        <v>3.0</v>
      </c>
      <c r="G39" s="55">
        <v>0.1595744680851064</v>
      </c>
      <c r="H39" s="55">
        <v>0.013495925758261652</v>
      </c>
      <c r="I39" s="36">
        <v>-1.0</v>
      </c>
      <c r="J39" s="58">
        <v>0.00392711111111111</v>
      </c>
      <c r="K39" s="58">
        <v>2.735243472592589E-4</v>
      </c>
      <c r="L39" s="36">
        <v>-3.0</v>
      </c>
      <c r="M39" s="54">
        <v>40.63405989039039</v>
      </c>
      <c r="N39" s="54">
        <v>6.571478494188449</v>
      </c>
      <c r="O39" s="36">
        <v>1.0</v>
      </c>
      <c r="P39" s="36"/>
      <c r="Q39" s="36"/>
      <c r="R39" s="36"/>
      <c r="S39" s="36"/>
      <c r="T39" s="53" t="s">
        <v>88</v>
      </c>
      <c r="U39" s="36">
        <v>6.0</v>
      </c>
      <c r="V39" s="36">
        <v>3.0</v>
      </c>
      <c r="W39" s="36">
        <v>3.0</v>
      </c>
      <c r="X39" s="36">
        <v>0.0</v>
      </c>
      <c r="Y39" s="55">
        <v>3.86</v>
      </c>
      <c r="Z39" s="55">
        <v>0.6472000000000001</v>
      </c>
      <c r="AA39" s="54">
        <v>0.8031088082901555</v>
      </c>
      <c r="AB39" s="54">
        <v>0.13491503127600746</v>
      </c>
      <c r="AC39" s="56">
        <v>-0.050915533583686036</v>
      </c>
      <c r="AD39" s="55">
        <v>2.436</v>
      </c>
      <c r="AE39" s="36">
        <v>0.08</v>
      </c>
      <c r="AF39" s="55">
        <v>0.8727422003284072</v>
      </c>
      <c r="AG39" s="55">
        <v>0.029071993442640637</v>
      </c>
      <c r="AH39" s="56">
        <v>0.03137464932202201</v>
      </c>
    </row>
    <row r="40">
      <c r="A40" s="53" t="s">
        <v>89</v>
      </c>
      <c r="B40" s="54">
        <v>11.040932010983997</v>
      </c>
      <c r="C40" s="54">
        <v>0.7547769053466288</v>
      </c>
      <c r="D40" s="55">
        <v>0.9087197759516812</v>
      </c>
      <c r="E40" s="55">
        <v>0.009052961532811855</v>
      </c>
      <c r="F40" s="36">
        <v>4.0</v>
      </c>
      <c r="G40" s="55">
        <v>0.3191489361702128</v>
      </c>
      <c r="H40" s="55">
        <v>0.019013128112267984</v>
      </c>
      <c r="I40" s="36">
        <v>-1.0</v>
      </c>
      <c r="J40" s="58">
        <v>0.00392711111111111</v>
      </c>
      <c r="K40" s="58">
        <v>2.735243472592589E-4</v>
      </c>
      <c r="L40" s="36">
        <v>-3.0</v>
      </c>
      <c r="M40" s="54">
        <v>81.26811978078078</v>
      </c>
      <c r="N40" s="54">
        <v>11.111253993857378</v>
      </c>
      <c r="O40" s="36">
        <v>2.0</v>
      </c>
      <c r="P40" s="36"/>
      <c r="Q40" s="36"/>
      <c r="R40" s="36"/>
      <c r="S40" s="36"/>
      <c r="T40" s="53" t="s">
        <v>89</v>
      </c>
      <c r="U40" s="36">
        <v>4.0</v>
      </c>
      <c r="V40" s="36">
        <v>0.0</v>
      </c>
      <c r="W40" s="36">
        <v>4.0</v>
      </c>
      <c r="X40" s="36">
        <v>0.0</v>
      </c>
      <c r="Y40" s="55">
        <v>3.34</v>
      </c>
      <c r="Z40" s="55">
        <v>0.6472000000000001</v>
      </c>
      <c r="AA40" s="54">
        <v>0.9281437125748504</v>
      </c>
      <c r="AB40" s="54">
        <v>0.18014808705941415</v>
      </c>
      <c r="AC40" s="56">
        <v>0.021375056576519395</v>
      </c>
      <c r="AD40" s="54">
        <v>2.094</v>
      </c>
      <c r="AE40" s="36">
        <v>0.1</v>
      </c>
      <c r="AF40" s="55">
        <v>1.0152817574021014</v>
      </c>
      <c r="AG40" s="55">
        <v>0.04896283464193416</v>
      </c>
      <c r="AH40" s="56">
        <v>0.11726605304569307</v>
      </c>
    </row>
    <row r="41">
      <c r="A41" s="53" t="s">
        <v>90</v>
      </c>
      <c r="B41" s="54">
        <v>13.522324855835874</v>
      </c>
      <c r="C41" s="54">
        <v>0.868066123635449</v>
      </c>
      <c r="D41" s="55">
        <v>0.9712463660400995</v>
      </c>
      <c r="E41" s="55">
        <v>0.011325082248410865</v>
      </c>
      <c r="F41" s="36">
        <v>5.0</v>
      </c>
      <c r="G41" s="55">
        <v>0.4787234042553192</v>
      </c>
      <c r="H41" s="55">
        <v>0.024530330466274314</v>
      </c>
      <c r="I41" s="36">
        <v>-1.0</v>
      </c>
      <c r="J41" s="58">
        <v>0.00392711111111111</v>
      </c>
      <c r="K41" s="58">
        <v>2.735243472592589E-4</v>
      </c>
      <c r="L41" s="36">
        <v>-3.0</v>
      </c>
      <c r="M41" s="54">
        <v>121.90217967117117</v>
      </c>
      <c r="N41" s="54">
        <v>15.651029493526309</v>
      </c>
      <c r="O41" s="36">
        <v>2.0</v>
      </c>
      <c r="P41" s="36"/>
      <c r="Q41" s="36"/>
      <c r="R41" s="36"/>
      <c r="S41" s="36"/>
      <c r="T41" s="53" t="s">
        <v>90</v>
      </c>
      <c r="U41" s="36">
        <v>4.0</v>
      </c>
      <c r="V41" s="36">
        <v>-1.0</v>
      </c>
      <c r="W41" s="36">
        <v>4.0</v>
      </c>
      <c r="X41" s="36">
        <v>-1.0</v>
      </c>
      <c r="Y41" s="55">
        <v>2.85</v>
      </c>
      <c r="Z41" s="55">
        <v>0.6472000000000001</v>
      </c>
      <c r="AA41" s="54">
        <v>1.087719298245614</v>
      </c>
      <c r="AB41" s="54">
        <v>0.24735857186826718</v>
      </c>
      <c r="AC41" s="56">
        <v>0.11992109960770324</v>
      </c>
      <c r="AD41" s="55">
        <v>2.147</v>
      </c>
      <c r="AE41" s="36">
        <v>0.03</v>
      </c>
      <c r="AF41" s="55">
        <v>0.9902189101071263</v>
      </c>
      <c r="AG41" s="55">
        <v>0.0143020807187768</v>
      </c>
      <c r="AH41" s="56">
        <v>0.019534223993424384</v>
      </c>
    </row>
    <row r="47">
      <c r="A47" s="60" t="s">
        <v>93</v>
      </c>
    </row>
    <row r="48">
      <c r="A48" s="61" t="s">
        <v>94</v>
      </c>
      <c r="B48" s="3" t="s">
        <v>47</v>
      </c>
      <c r="C48" s="3" t="s">
        <v>3</v>
      </c>
      <c r="D48" s="3" t="s">
        <v>48</v>
      </c>
      <c r="E48" s="3" t="s">
        <v>3</v>
      </c>
      <c r="F48" s="3" t="s">
        <v>49</v>
      </c>
      <c r="G48" s="3" t="s">
        <v>3</v>
      </c>
    </row>
    <row r="49">
      <c r="A49" s="62" t="s">
        <v>95</v>
      </c>
      <c r="B49" s="4">
        <v>0.02</v>
      </c>
      <c r="C49" s="1">
        <v>0.001</v>
      </c>
      <c r="D49" s="4">
        <v>0.04</v>
      </c>
      <c r="E49" s="1">
        <v>0.001</v>
      </c>
      <c r="F49" s="4">
        <v>0.06</v>
      </c>
      <c r="G49" s="1">
        <v>0.001</v>
      </c>
    </row>
    <row r="50">
      <c r="A50" s="63" t="s">
        <v>96</v>
      </c>
    </row>
    <row r="53">
      <c r="A53" s="64" t="s">
        <v>97</v>
      </c>
      <c r="B53" s="65"/>
    </row>
    <row r="54">
      <c r="A54" s="66" t="s">
        <v>94</v>
      </c>
      <c r="E54" s="62" t="s">
        <v>95</v>
      </c>
      <c r="I54" s="63" t="s">
        <v>96</v>
      </c>
    </row>
    <row r="55">
      <c r="A55" s="67" t="s">
        <v>98</v>
      </c>
      <c r="B55" s="68" t="s">
        <v>99</v>
      </c>
      <c r="C55" s="68" t="s">
        <v>100</v>
      </c>
      <c r="E55" s="67" t="s">
        <v>98</v>
      </c>
      <c r="F55" s="67" t="s">
        <v>99</v>
      </c>
      <c r="G55" s="68" t="s">
        <v>100</v>
      </c>
      <c r="I55" s="67" t="s">
        <v>98</v>
      </c>
      <c r="J55" s="67" t="s">
        <v>99</v>
      </c>
      <c r="K55" s="67" t="s">
        <v>100</v>
      </c>
    </row>
    <row r="56">
      <c r="A56" s="69">
        <f>B49</f>
        <v>0.02</v>
      </c>
      <c r="B56" s="67" t="s">
        <v>81</v>
      </c>
      <c r="C56" s="70">
        <f t="shared" ref="C56:C58" si="1">D7</f>
        <v>0.5422714572</v>
      </c>
      <c r="E56" s="71">
        <v>0.02</v>
      </c>
      <c r="F56" s="67" t="s">
        <v>81</v>
      </c>
      <c r="G56" s="70">
        <f t="shared" ref="G56:G58" si="2">D19</f>
        <v>0.7835367375</v>
      </c>
      <c r="I56" s="71">
        <v>0.02</v>
      </c>
      <c r="J56" s="67" t="s">
        <v>81</v>
      </c>
      <c r="K56" s="70">
        <f t="shared" ref="K56:K58" si="3">D31</f>
        <v>0.8461931859</v>
      </c>
    </row>
    <row r="57">
      <c r="A57" s="69">
        <f>D49</f>
        <v>0.04</v>
      </c>
      <c r="B57" s="67" t="s">
        <v>81</v>
      </c>
      <c r="C57" s="70">
        <f t="shared" si="1"/>
        <v>0.6568358496</v>
      </c>
      <c r="E57" s="71">
        <v>0.04</v>
      </c>
      <c r="F57" s="67" t="s">
        <v>81</v>
      </c>
      <c r="G57" s="70">
        <f t="shared" si="2"/>
        <v>0.8520676474</v>
      </c>
      <c r="I57" s="71">
        <v>0.04</v>
      </c>
      <c r="J57" s="67" t="s">
        <v>81</v>
      </c>
      <c r="K57" s="70">
        <f t="shared" si="3"/>
        <v>0.908719776</v>
      </c>
    </row>
    <row r="58">
      <c r="A58" s="69">
        <f>F49</f>
        <v>0.06</v>
      </c>
      <c r="B58" s="67" t="s">
        <v>81</v>
      </c>
      <c r="C58" s="70">
        <f t="shared" si="1"/>
        <v>0.771400242</v>
      </c>
      <c r="E58" s="71">
        <v>0.06</v>
      </c>
      <c r="F58" s="67" t="s">
        <v>81</v>
      </c>
      <c r="G58" s="70">
        <f t="shared" si="2"/>
        <v>0.9205985574</v>
      </c>
      <c r="I58" s="71">
        <v>0.06</v>
      </c>
      <c r="J58" s="67" t="s">
        <v>81</v>
      </c>
      <c r="K58" s="70">
        <f t="shared" si="3"/>
        <v>0.971246366</v>
      </c>
    </row>
    <row r="59">
      <c r="A59" s="69">
        <f>B49</f>
        <v>0.02</v>
      </c>
      <c r="B59" s="67" t="s">
        <v>82</v>
      </c>
      <c r="C59" s="70">
        <f t="shared" ref="C59:C61" si="4">D11</f>
        <v>0.5422714572</v>
      </c>
      <c r="E59" s="71">
        <v>0.02</v>
      </c>
      <c r="F59" s="67" t="s">
        <v>82</v>
      </c>
      <c r="G59" s="70">
        <f t="shared" ref="G59:G61" si="5">D23</f>
        <v>0.7835367375</v>
      </c>
      <c r="I59" s="71">
        <v>0.02</v>
      </c>
      <c r="J59" s="67" t="s">
        <v>82</v>
      </c>
      <c r="K59" s="70">
        <f t="shared" ref="K59:K61" si="6">D35</f>
        <v>0.8461931859</v>
      </c>
    </row>
    <row r="60">
      <c r="A60" s="69">
        <f>D49</f>
        <v>0.04</v>
      </c>
      <c r="B60" s="67" t="s">
        <v>82</v>
      </c>
      <c r="C60" s="70">
        <f t="shared" si="4"/>
        <v>0.6568358496</v>
      </c>
      <c r="E60" s="71">
        <v>0.04</v>
      </c>
      <c r="F60" s="67" t="s">
        <v>82</v>
      </c>
      <c r="G60" s="70">
        <f t="shared" si="5"/>
        <v>0.8520676474</v>
      </c>
      <c r="I60" s="71">
        <v>0.04</v>
      </c>
      <c r="J60" s="67" t="s">
        <v>82</v>
      </c>
      <c r="K60" s="70">
        <f t="shared" si="6"/>
        <v>0.908719776</v>
      </c>
    </row>
    <row r="61">
      <c r="A61" s="69">
        <f>F49</f>
        <v>0.06</v>
      </c>
      <c r="B61" s="67" t="s">
        <v>82</v>
      </c>
      <c r="C61" s="70">
        <f t="shared" si="4"/>
        <v>0.771400242</v>
      </c>
      <c r="E61" s="71">
        <v>0.06</v>
      </c>
      <c r="F61" s="67" t="s">
        <v>82</v>
      </c>
      <c r="G61" s="70">
        <f t="shared" si="5"/>
        <v>0.9205985574</v>
      </c>
      <c r="I61" s="71">
        <v>0.06</v>
      </c>
      <c r="J61" s="67" t="s">
        <v>82</v>
      </c>
      <c r="K61" s="70">
        <f t="shared" si="6"/>
        <v>0.971246366</v>
      </c>
    </row>
    <row r="62">
      <c r="A62" s="69">
        <f>B49</f>
        <v>0.02</v>
      </c>
      <c r="B62" s="67" t="s">
        <v>83</v>
      </c>
      <c r="C62" s="70">
        <f t="shared" ref="C62:C64" si="7">D15</f>
        <v>0.5422714572</v>
      </c>
      <c r="E62" s="71">
        <v>0.02</v>
      </c>
      <c r="F62" s="67" t="s">
        <v>83</v>
      </c>
      <c r="G62" s="70">
        <f t="shared" ref="G62:G64" si="8">D27</f>
        <v>0.7835367375</v>
      </c>
      <c r="I62" s="71">
        <v>0.02</v>
      </c>
      <c r="J62" s="67" t="s">
        <v>83</v>
      </c>
      <c r="K62" s="70">
        <f t="shared" ref="K62:K64" si="9">D39</f>
        <v>0.8461931859</v>
      </c>
    </row>
    <row r="63">
      <c r="A63" s="69">
        <f>D49</f>
        <v>0.04</v>
      </c>
      <c r="B63" s="67" t="s">
        <v>83</v>
      </c>
      <c r="C63" s="70">
        <f t="shared" si="7"/>
        <v>0.6568358496</v>
      </c>
      <c r="E63" s="71">
        <v>0.04</v>
      </c>
      <c r="F63" s="67" t="s">
        <v>83</v>
      </c>
      <c r="G63" s="70">
        <f t="shared" si="8"/>
        <v>0.8520676474</v>
      </c>
      <c r="I63" s="71">
        <v>0.04</v>
      </c>
      <c r="J63" s="67" t="s">
        <v>83</v>
      </c>
      <c r="K63" s="70">
        <f t="shared" si="9"/>
        <v>0.908719776</v>
      </c>
    </row>
    <row r="64">
      <c r="A64" s="69">
        <f>F49</f>
        <v>0.06</v>
      </c>
      <c r="B64" s="67" t="s">
        <v>83</v>
      </c>
      <c r="C64" s="70">
        <f t="shared" si="7"/>
        <v>0.771400242</v>
      </c>
      <c r="E64" s="71">
        <v>0.06</v>
      </c>
      <c r="F64" s="67" t="s">
        <v>83</v>
      </c>
      <c r="G64" s="70">
        <f t="shared" si="8"/>
        <v>0.9205985574</v>
      </c>
      <c r="I64" s="71">
        <v>0.06</v>
      </c>
      <c r="J64" s="67" t="s">
        <v>83</v>
      </c>
      <c r="K64" s="70">
        <f t="shared" si="9"/>
        <v>0.971246366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2021-10-21T10:07:18Z</dcterms:created>
  <dc:creator>duart</dc:creator>
</cp:coreProperties>
</file>