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iled" sheetId="1" r:id="rId4"/>
    <sheet state="visible" name="Year 1" sheetId="2" r:id="rId5"/>
    <sheet state="visible" name="Year 2" sheetId="3" r:id="rId6"/>
    <sheet state="visible" name="Year 3" sheetId="4" r:id="rId7"/>
    <sheet state="visible" name="Year 4" sheetId="5" r:id="rId8"/>
    <sheet state="visible" name="Year 5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tirar unidades
	-André Santiago Mestre E Costa</t>
      </text>
    </comment>
    <comment authorId="0" ref="G7">
      <text>
        <t xml:space="preserve">Será que não conseguimos reduzir este custo durante estes anos?
	-Manuel Ferreira Sardinha Diogo de Matos
yah yah claro
	-Fábio Miguel Magalhães Dias
altera à vontade
	-Fábio Miguel Magalhães Dias</t>
      </text>
    </comment>
  </commentList>
</comments>
</file>

<file path=xl/sharedStrings.xml><?xml version="1.0" encoding="utf-8"?>
<sst xmlns="http://schemas.openxmlformats.org/spreadsheetml/2006/main" count="483" uniqueCount="155">
  <si>
    <t>Year</t>
  </si>
  <si>
    <t>Product Revenue and Cost</t>
  </si>
  <si>
    <t>Average Price [€ / #]</t>
  </si>
  <si>
    <t>Selling amount [1000 #]</t>
  </si>
  <si>
    <t>Revenue [k€]</t>
  </si>
  <si>
    <t>Cost of Production [€ / #]</t>
  </si>
  <si>
    <t>Cost of Revenue [k€]</t>
  </si>
  <si>
    <t>Gross Margin [k€]</t>
  </si>
  <si>
    <t>Engeneering and R&amp;D</t>
  </si>
  <si>
    <t>Tools/Machinery [k€]</t>
  </si>
  <si>
    <t>Employees [#]</t>
  </si>
  <si>
    <t>Salaries [k€]</t>
  </si>
  <si>
    <t>Total Cost [k€]</t>
  </si>
  <si>
    <t>Marketing and Sales</t>
  </si>
  <si>
    <t>Software faturação</t>
  </si>
  <si>
    <t>Marketing [k€]</t>
  </si>
  <si>
    <t>https://blog.hubspot.com/marketing/startup-marketing-budget</t>
  </si>
  <si>
    <t>https://www.vendus.pt/</t>
  </si>
  <si>
    <t>Cost of Sales [k€]</t>
  </si>
  <si>
    <t>https://issuu.com/kevinkevinkevinkevin/docs/marketing_team_structures_report_2017/s/11347142</t>
  </si>
  <si>
    <t>Administration and Financial</t>
  </si>
  <si>
    <t>Hardware and Software [€]</t>
  </si>
  <si>
    <t>Office [k€]</t>
  </si>
  <si>
    <t>Key Performance Indicators</t>
  </si>
  <si>
    <t>OPEX [k€]</t>
  </si>
  <si>
    <t>CAPEX [k€]</t>
  </si>
  <si>
    <t>Total Expenses [M€]</t>
  </si>
  <si>
    <t>Cash Flow [k€]</t>
  </si>
  <si>
    <t>Funding [k€]</t>
  </si>
  <si>
    <t>(ANTES dos ajustes dos moldes (CENTIMFE))</t>
  </si>
  <si>
    <t>(APÓS AJUSTES)</t>
  </si>
  <si>
    <t>(Resultados idênticos, com o break even a ocorrer ligeiramente mais tarde no caso ajustado.)</t>
  </si>
  <si>
    <t>(for graph)</t>
  </si>
  <si>
    <t>Funding</t>
  </si>
  <si>
    <t xml:space="preserve"> </t>
  </si>
  <si>
    <t>Expenses</t>
  </si>
  <si>
    <t>Revenue</t>
  </si>
  <si>
    <t>share</t>
  </si>
  <si>
    <t>Reference</t>
  </si>
  <si>
    <t>Description</t>
  </si>
  <si>
    <t>Category</t>
  </si>
  <si>
    <t>Cost</t>
  </si>
  <si>
    <t>PVP</t>
  </si>
  <si>
    <t>units</t>
  </si>
  <si>
    <t>Market size</t>
  </si>
  <si>
    <t>Office (Members house)</t>
  </si>
  <si>
    <t>Property</t>
  </si>
  <si>
    <t>https://www.forbes.com/sites/theyec/2020/05/14/how-to-determine-what-your-business-is-worth-in-five-minutes-or-less/</t>
  </si>
  <si>
    <t>Funding (+/-5% equity @)</t>
  </si>
  <si>
    <t>https://files.dre.pt/1s/2022/12/24501/0000200003.pdf</t>
  </si>
  <si>
    <t>Sallaries (5x minimum wage)</t>
  </si>
  <si>
    <t>HR</t>
  </si>
  <si>
    <t>Own Capital</t>
  </si>
  <si>
    <t>Margin</t>
  </si>
  <si>
    <t>Car Travelling (30000km@6L/100km@1.70€/L)</t>
  </si>
  <si>
    <t>Travelling</t>
  </si>
  <si>
    <t>Personal gain</t>
  </si>
  <si>
    <t>5x salarie of 5000€</t>
  </si>
  <si>
    <t>https://store.creality.com/products/halot-one-pro-resin-3d-printer?sscid=51k7_16y6fe&amp;</t>
  </si>
  <si>
    <t>Resin 3D Printer</t>
  </si>
  <si>
    <t>Equipment</t>
  </si>
  <si>
    <t>Market Multiple</t>
  </si>
  <si>
    <t>https://store.creality.com/products/uw-01-washing-curing-machine?spm=..collection_c126e9dd-81fa-4f64-9e2c-9caddfa8f9cf.albums_1.1&amp;spm_prev=..product_bb476363-6fb3-4335-9cd3-a78b0a13dce8.header_1.1</t>
  </si>
  <si>
    <t>Resin UV Cure</t>
  </si>
  <si>
    <t>Valuation</t>
  </si>
  <si>
    <t>3D Printing Resin (5Kg)</t>
  </si>
  <si>
    <t>Materials</t>
  </si>
  <si>
    <t>Prototype made for EITT</t>
  </si>
  <si>
    <t>Electronic Blocks (500 Blocks@~6€)</t>
  </si>
  <si>
    <t>Packaging (100 kits@3€)</t>
  </si>
  <si>
    <t>Identity designer @ Havas</t>
  </si>
  <si>
    <t>Identity (Logo, Website)</t>
  </si>
  <si>
    <t>Marketing</t>
  </si>
  <si>
    <t>https://eportugal.gov.pt/servicos/criar-uma-empresa-online</t>
  </si>
  <si>
    <t>Company registration</t>
  </si>
  <si>
    <t>Burocracy</t>
  </si>
  <si>
    <t>https://www.e-konomista.pt/quanto-custa-um-contabilista/</t>
  </si>
  <si>
    <t>Accountant (@150eur 12m)</t>
  </si>
  <si>
    <t>https://eco.sapo.pt/2018/11/29/ipo-science4you-em-15-numeros/</t>
  </si>
  <si>
    <t>Total</t>
  </si>
  <si>
    <t>Cash Flow</t>
  </si>
  <si>
    <t>Profit</t>
  </si>
  <si>
    <t>Balance</t>
  </si>
  <si>
    <t>OPEX</t>
  </si>
  <si>
    <t>CAPEX</t>
  </si>
  <si>
    <t>Office (T2@1000€/m)</t>
  </si>
  <si>
    <t>como é renda é opex</t>
  </si>
  <si>
    <t>Night Light</t>
  </si>
  <si>
    <t>apos centimfe</t>
  </si>
  <si>
    <t>(slides, 3 produtos)</t>
  </si>
  <si>
    <t>Injection mold design &amp; prod.</t>
  </si>
  <si>
    <t>...</t>
  </si>
  <si>
    <t>Lego blocks (30.000(1500kits)@0.1€)</t>
  </si>
  <si>
    <t>Electronic Blocks (7500 Blocks@~5€+2.6€)</t>
  </si>
  <si>
    <t>Packaging (1500 kits@1€)</t>
  </si>
  <si>
    <t>Common 1st salary</t>
  </si>
  <si>
    <t>Sallaries (1x Mech. eng.@1200€ 14m)</t>
  </si>
  <si>
    <t>https://www.ctt.pt/empresas/encomendas-e-correio/enviar/correio/enviar-para-portugal/correio-normal</t>
  </si>
  <si>
    <t>Logistics (ship 1500kits@4,25€)</t>
  </si>
  <si>
    <t>Sallaries (1xGraphical Designer @900€ 14m)</t>
  </si>
  <si>
    <t>Travels and stays (5 travels@1000€/per travel)</t>
  </si>
  <si>
    <t>https://formlabs.com/blog/injection-molding-cost/</t>
  </si>
  <si>
    <t>Toy conferences and events</t>
  </si>
  <si>
    <t>Cost per kit</t>
  </si>
  <si>
    <t>Office PC</t>
  </si>
  <si>
    <t>Legos</t>
  </si>
  <si>
    <t>Electronic blocks</t>
  </si>
  <si>
    <t>packaging</t>
  </si>
  <si>
    <t>TOTAL</t>
  </si>
  <si>
    <t>Lego Blocks (45.000@0,08€)</t>
  </si>
  <si>
    <t>Electronic Blocks (9000@7,5€)</t>
  </si>
  <si>
    <t>Packaging (1800 kits@1€)</t>
  </si>
  <si>
    <t>Total (per unit)</t>
  </si>
  <si>
    <t>Tools/Machinery</t>
  </si>
  <si>
    <t>3D Printing Resin</t>
  </si>
  <si>
    <t>Molds (3@15k€)</t>
  </si>
  <si>
    <t>Molds (4@15k€)</t>
  </si>
  <si>
    <t>Computers (9@1k€)</t>
  </si>
  <si>
    <t>Office (T3@1400€/m)</t>
  </si>
  <si>
    <t>Sallaries (5x @2000€ 14m)</t>
  </si>
  <si>
    <t>2nd Kit</t>
  </si>
  <si>
    <t>Car Travelling (20000km@6L/100km@1.70€/L)</t>
  </si>
  <si>
    <t>3rd Kit</t>
  </si>
  <si>
    <t>(+3 produtos)</t>
  </si>
  <si>
    <t>Lego blocks (100.000(5000kits)@0.1€)</t>
  </si>
  <si>
    <t>Electronic Blocks (25000 Blocks@~4+2.6€)</t>
  </si>
  <si>
    <t>Packaging (5000 kits@1€)</t>
  </si>
  <si>
    <t>https://www.ctt.pt/empresas/e-commerce-e-logistica/portal-logistica/simular-custo</t>
  </si>
  <si>
    <t>Logistics (ship 5000kits@3,5€)</t>
  </si>
  <si>
    <t>Logistics/Office worker (minimum wage)</t>
  </si>
  <si>
    <t>Kit Assembly Chritmass (2x/2m @900€)</t>
  </si>
  <si>
    <t>Sallaries (1x Mech. eng.@1800€ 14m)</t>
  </si>
  <si>
    <t>Salaries (1x SW eng. @ 1600€ 14m)</t>
  </si>
  <si>
    <t>Sallaries (1xGraphical Designer @1100€ 14m)</t>
  </si>
  <si>
    <t>Travels and stays (20 travels@1000€/per travel)</t>
  </si>
  <si>
    <t>Logistics/Office worker PC and supplies</t>
  </si>
  <si>
    <t>Sallaries (5x @2000€)</t>
  </si>
  <si>
    <t>(+4 produtos)</t>
  </si>
  <si>
    <t>4th Kit</t>
  </si>
  <si>
    <t>Lego blocks (240.000(12000kits)@0.1€)</t>
  </si>
  <si>
    <t>5th Kit</t>
  </si>
  <si>
    <t>Electronic Blocks (60.000 Blocks@~4+2.6€)</t>
  </si>
  <si>
    <t>6th Kit</t>
  </si>
  <si>
    <t>Packaging (12.000 kits@1€)</t>
  </si>
  <si>
    <t>7th Kit</t>
  </si>
  <si>
    <t>Logistics (ship 12.000kits@3,5€)</t>
  </si>
  <si>
    <t>Kit Assembly Chritmass (4x/1m @900€)</t>
  </si>
  <si>
    <t>Sallaries (1x Mech. eng.@2000€ 14m)</t>
  </si>
  <si>
    <t>Sallaries (1xGraphical Designer @1300€ 14m)</t>
  </si>
  <si>
    <t>Sallaries (1xGraphical Designer @1000€ 14m)</t>
  </si>
  <si>
    <t>centimfe</t>
  </si>
  <si>
    <t>Lego blocks (420.000(21000kits)@0.1€)</t>
  </si>
  <si>
    <t>Electronic Blocks (105.000 Blocks@~4+2.6€)</t>
  </si>
  <si>
    <t>Packaging (21.000 kits@1€)</t>
  </si>
  <si>
    <t>Logistics (ship 21.000kits@3,5€)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</si>
</sst>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"/>
    <numFmt numFmtId="166" formatCode="#,##0.00\ [$€-1]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b/>
      <sz val="13.0"/>
      <color theme="1"/>
      <name val="Arial"/>
      <scheme val="minor"/>
    </font>
    <font>
      <b/>
      <sz val="14.0"/>
      <color rgb="FFFFFFFF"/>
      <name val="Arial"/>
      <scheme val="minor"/>
    </font>
    <font>
      <b/>
      <sz val="14.0"/>
      <color rgb="FFFFFFFF"/>
      <name val="Arial"/>
    </font>
    <font>
      <b/>
      <color rgb="FFFFFFFF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color rgb="FFFF0000"/>
      <name val="Arial"/>
      <scheme val="minor"/>
    </font>
    <font>
      <b/>
      <color rgb="FFFF0000"/>
      <name val="Arial"/>
      <scheme val="minor"/>
    </font>
    <font>
      <u/>
      <color rgb="FF0000FF"/>
    </font>
    <font>
      <u/>
      <color rgb="FF0000FF"/>
      <name val="Arial"/>
    </font>
    <font>
      <color rgb="FF00000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9CB9C"/>
        <bgColor rgb="FFF9CB9C"/>
      </patternFill>
    </fill>
    <fill>
      <patternFill patternType="solid">
        <fgColor rgb="FF9900FF"/>
        <bgColor rgb="FF9900FF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readingOrder="0"/>
    </xf>
    <xf borderId="8" fillId="4" fontId="3" numFmtId="3" xfId="0" applyAlignment="1" applyBorder="1" applyFont="1" applyNumberFormat="1">
      <alignment readingOrder="0"/>
    </xf>
    <xf borderId="9" fillId="4" fontId="3" numFmtId="3" xfId="0" applyAlignment="1" applyBorder="1" applyFont="1" applyNumberFormat="1">
      <alignment readingOrder="0"/>
    </xf>
    <xf borderId="8" fillId="4" fontId="3" numFmtId="164" xfId="0" applyAlignment="1" applyBorder="1" applyFont="1" applyNumberFormat="1">
      <alignment readingOrder="0"/>
    </xf>
    <xf borderId="9" fillId="4" fontId="3" numFmtId="164" xfId="0" applyAlignment="1" applyBorder="1" applyFont="1" applyNumberFormat="1">
      <alignment readingOrder="0"/>
    </xf>
    <xf borderId="8" fillId="4" fontId="3" numFmtId="3" xfId="0" applyBorder="1" applyFont="1" applyNumberFormat="1"/>
    <xf borderId="9" fillId="4" fontId="3" numFmtId="3" xfId="0" applyBorder="1" applyFont="1" applyNumberFormat="1"/>
    <xf borderId="4" fillId="5" fontId="1" numFmtId="0" xfId="0" applyAlignment="1" applyBorder="1" applyFill="1" applyFont="1">
      <alignment horizontal="center" readingOrder="0"/>
    </xf>
    <xf borderId="7" fillId="6" fontId="3" numFmtId="0" xfId="0" applyAlignment="1" applyBorder="1" applyFill="1" applyFont="1">
      <alignment readingOrder="0"/>
    </xf>
    <xf borderId="8" fillId="6" fontId="3" numFmtId="0" xfId="0" applyAlignment="1" applyBorder="1" applyFont="1">
      <alignment readingOrder="0"/>
    </xf>
    <xf borderId="9" fillId="6" fontId="3" numFmtId="0" xfId="0" applyAlignment="1" applyBorder="1" applyFont="1">
      <alignment readingOrder="0"/>
    </xf>
    <xf borderId="8" fillId="6" fontId="3" numFmtId="1" xfId="0" applyBorder="1" applyFont="1" applyNumberFormat="1"/>
    <xf borderId="8" fillId="6" fontId="3" numFmtId="0" xfId="0" applyBorder="1" applyFont="1"/>
    <xf borderId="9" fillId="6" fontId="3" numFmtId="0" xfId="0" applyBorder="1" applyFont="1"/>
    <xf borderId="4" fillId="7" fontId="1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7" fillId="8" fontId="3" numFmtId="0" xfId="0" applyAlignment="1" applyBorder="1" applyFill="1" applyFont="1">
      <alignment readingOrder="0"/>
    </xf>
    <xf borderId="8" fillId="8" fontId="3" numFmtId="1" xfId="0" applyAlignment="1" applyBorder="1" applyFont="1" applyNumberFormat="1">
      <alignment readingOrder="0"/>
    </xf>
    <xf borderId="9" fillId="8" fontId="3" numFmtId="1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8" fillId="8" fontId="3" numFmtId="165" xfId="0" applyAlignment="1" applyBorder="1" applyFont="1" applyNumberFormat="1">
      <alignment readingOrder="0"/>
    </xf>
    <xf borderId="9" fillId="8" fontId="3" numFmtId="165" xfId="0" applyAlignment="1" applyBorder="1" applyFont="1" applyNumberFormat="1">
      <alignment readingOrder="0"/>
    </xf>
    <xf borderId="8" fillId="8" fontId="3" numFmtId="1" xfId="0" applyBorder="1" applyFont="1" applyNumberFormat="1"/>
    <xf borderId="9" fillId="8" fontId="3" numFmtId="1" xfId="0" applyBorder="1" applyFont="1" applyNumberFormat="1"/>
    <xf borderId="4" fillId="9" fontId="1" numFmtId="0" xfId="0" applyAlignment="1" applyBorder="1" applyFill="1" applyFont="1">
      <alignment horizontal="center" readingOrder="0"/>
    </xf>
    <xf borderId="7" fillId="10" fontId="3" numFmtId="0" xfId="0" applyAlignment="1" applyBorder="1" applyFill="1" applyFont="1">
      <alignment readingOrder="0"/>
    </xf>
    <xf borderId="8" fillId="10" fontId="3" numFmtId="3" xfId="0" applyBorder="1" applyFont="1" applyNumberFormat="1"/>
    <xf borderId="8" fillId="10" fontId="3" numFmtId="3" xfId="0" applyAlignment="1" applyBorder="1" applyFont="1" applyNumberFormat="1">
      <alignment readingOrder="0"/>
    </xf>
    <xf borderId="9" fillId="10" fontId="3" numFmtId="3" xfId="0" applyAlignment="1" applyBorder="1" applyFont="1" applyNumberFormat="1">
      <alignment readingOrder="0"/>
    </xf>
    <xf borderId="8" fillId="10" fontId="3" numFmtId="164" xfId="0" applyBorder="1" applyFont="1" applyNumberFormat="1"/>
    <xf borderId="9" fillId="10" fontId="3" numFmtId="164" xfId="0" applyBorder="1" applyFont="1" applyNumberFormat="1"/>
    <xf borderId="9" fillId="10" fontId="3" numFmtId="3" xfId="0" applyBorder="1" applyFont="1" applyNumberFormat="1"/>
    <xf borderId="4" fillId="11" fontId="1" numFmtId="0" xfId="0" applyAlignment="1" applyBorder="1" applyFill="1" applyFont="1">
      <alignment horizontal="center" readingOrder="0"/>
    </xf>
    <xf borderId="7" fillId="2" fontId="3" numFmtId="0" xfId="0" applyAlignment="1" applyBorder="1" applyFont="1">
      <alignment readingOrder="0"/>
    </xf>
    <xf borderId="8" fillId="2" fontId="3" numFmtId="164" xfId="0" applyBorder="1" applyFont="1" applyNumberFormat="1"/>
    <xf borderId="9" fillId="2" fontId="3" numFmtId="164" xfId="0" applyBorder="1" applyFont="1" applyNumberFormat="1"/>
    <xf borderId="8" fillId="2" fontId="3" numFmtId="3" xfId="0" applyAlignment="1" applyBorder="1" applyFont="1" applyNumberFormat="1">
      <alignment readingOrder="0"/>
    </xf>
    <xf borderId="9" fillId="2" fontId="3" numFmtId="3" xfId="0" applyAlignment="1" applyBorder="1" applyFont="1" applyNumberFormat="1">
      <alignment readingOrder="0"/>
    </xf>
    <xf borderId="10" fillId="2" fontId="3" numFmtId="166" xfId="0" applyAlignment="1" applyBorder="1" applyFont="1" applyNumberFormat="1">
      <alignment readingOrder="0"/>
    </xf>
    <xf borderId="11" fillId="2" fontId="3" numFmtId="3" xfId="0" applyAlignment="1" applyBorder="1" applyFont="1" applyNumberFormat="1">
      <alignment readingOrder="0"/>
    </xf>
    <xf borderId="12" fillId="2" fontId="3" numFmtId="3" xfId="0" applyAlignment="1" applyBorder="1" applyFont="1" applyNumberFormat="1">
      <alignment readingOrder="0"/>
    </xf>
    <xf borderId="0" fillId="0" fontId="3" numFmtId="166" xfId="0" applyAlignment="1" applyFont="1" applyNumberFormat="1">
      <alignment horizontal="center"/>
    </xf>
    <xf borderId="0" fillId="0" fontId="5" numFmtId="0" xfId="0" applyAlignment="1" applyFont="1">
      <alignment horizontal="center" readingOrder="0" vertical="center"/>
    </xf>
    <xf borderId="8" fillId="2" fontId="3" numFmtId="0" xfId="0" applyAlignment="1" applyBorder="1" applyFont="1">
      <alignment readingOrder="0"/>
    </xf>
    <xf borderId="8" fillId="2" fontId="3" numFmtId="4" xfId="0" applyAlignment="1" applyBorder="1" applyFont="1" applyNumberFormat="1">
      <alignment readingOrder="0"/>
    </xf>
    <xf borderId="0" fillId="0" fontId="3" numFmtId="4" xfId="0" applyFont="1" applyNumberFormat="1"/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6" numFmtId="0" xfId="0" applyAlignment="1" applyFont="1">
      <alignment horizontal="center" readingOrder="0" shrinkToFit="0" wrapText="0"/>
    </xf>
    <xf borderId="0" fillId="12" fontId="6" numFmtId="0" xfId="0" applyAlignment="1" applyFill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12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13" fontId="1" numFmtId="0" xfId="0" applyAlignment="1" applyFill="1" applyFont="1">
      <alignment horizontal="center" readingOrder="0" shrinkToFit="0" wrapText="0"/>
    </xf>
    <xf borderId="0" fillId="13" fontId="9" numFmtId="0" xfId="0" applyAlignment="1" applyFont="1">
      <alignment horizontal="center" shrinkToFit="0" vertical="bottom" wrapText="0"/>
    </xf>
    <xf borderId="0" fillId="13" fontId="9" numFmtId="0" xfId="0" applyAlignment="1" applyFont="1">
      <alignment horizontal="center" readingOrder="0" shrinkToFit="0" vertical="bottom" wrapText="0"/>
    </xf>
    <xf borderId="0" fillId="0" fontId="3" numFmtId="166" xfId="0" applyAlignment="1" applyFont="1" applyNumberFormat="1">
      <alignment readingOrder="0" shrinkToFit="0" wrapText="0"/>
    </xf>
    <xf borderId="0" fillId="0" fontId="3" numFmtId="9" xfId="0" applyAlignment="1" applyFont="1" applyNumberFormat="1">
      <alignment readingOrder="0" shrinkToFit="0" wrapText="0"/>
    </xf>
    <xf borderId="0" fillId="0" fontId="3" numFmtId="166" xfId="0" applyAlignment="1" applyFont="1" applyNumberFormat="1">
      <alignment shrinkToFit="0" wrapText="0"/>
    </xf>
    <xf borderId="0" fillId="14" fontId="3" numFmtId="0" xfId="0" applyAlignment="1" applyFill="1" applyFont="1">
      <alignment horizontal="center" shrinkToFit="0" wrapText="0"/>
    </xf>
    <xf borderId="0" fillId="14" fontId="3" numFmtId="0" xfId="0" applyAlignment="1" applyFont="1">
      <alignment horizontal="center" readingOrder="0" shrinkToFit="0" wrapText="0"/>
    </xf>
    <xf borderId="0" fillId="15" fontId="3" numFmtId="0" xfId="0" applyAlignment="1" applyFill="1" applyFont="1">
      <alignment horizontal="center" readingOrder="0" shrinkToFit="0" wrapText="0"/>
    </xf>
    <xf borderId="0" fillId="14" fontId="3" numFmtId="166" xfId="0" applyAlignment="1" applyFont="1" applyNumberFormat="1">
      <alignment horizontal="right" readingOrder="0" shrinkToFit="0" wrapText="0"/>
    </xf>
    <xf borderId="0" fillId="0" fontId="3" numFmtId="0" xfId="0" applyAlignment="1" applyFont="1">
      <alignment readingOrder="0" shrinkToFit="0" wrapText="0"/>
    </xf>
    <xf borderId="0" fillId="14" fontId="10" numFmtId="0" xfId="0" applyAlignment="1" applyFont="1">
      <alignment horizontal="center" readingOrder="0" shrinkToFit="0" vertical="bottom" wrapText="0"/>
    </xf>
    <xf borderId="0" fillId="14" fontId="10" numFmtId="166" xfId="0" applyAlignment="1" applyFont="1" applyNumberFormat="1">
      <alignment horizontal="center" readingOrder="0" shrinkToFit="0" vertical="bottom" wrapText="0"/>
    </xf>
    <xf borderId="0" fillId="14" fontId="10" numFmtId="166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14" fontId="11" numFmtId="0" xfId="0" applyAlignment="1" applyFont="1">
      <alignment horizontal="center" readingOrder="0" shrinkToFit="0" wrapText="0"/>
    </xf>
    <xf borderId="0" fillId="2" fontId="12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 readingOrder="0" shrinkToFit="0" wrapText="0"/>
    </xf>
    <xf borderId="0" fillId="2" fontId="3" numFmtId="166" xfId="0" applyAlignment="1" applyFont="1" applyNumberFormat="1">
      <alignment horizontal="right" readingOrder="0" shrinkToFit="0" wrapText="0"/>
    </xf>
    <xf borderId="0" fillId="2" fontId="10" numFmtId="0" xfId="0" applyAlignment="1" applyFont="1">
      <alignment shrinkToFit="0" vertical="bottom" wrapText="0"/>
    </xf>
    <xf borderId="0" fillId="2" fontId="10" numFmtId="166" xfId="0" applyAlignment="1" applyFont="1" applyNumberForma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14" fontId="10" numFmtId="0" xfId="0" applyAlignment="1" applyFont="1">
      <alignment horizontal="center" shrinkToFit="0" vertical="bottom" wrapText="0"/>
    </xf>
    <xf borderId="0" fillId="14" fontId="10" numFmtId="166" xfId="0" applyAlignment="1" applyFont="1" applyNumberFormat="1">
      <alignment horizontal="right" shrinkToFit="0" vertical="bottom" wrapText="0"/>
    </xf>
    <xf borderId="0" fillId="0" fontId="10" numFmtId="0" xfId="0" applyAlignment="1" applyFont="1">
      <alignment shrinkToFit="0" vertical="bottom" wrapText="0"/>
    </xf>
    <xf borderId="0" fillId="14" fontId="10" numFmtId="0" xfId="0" applyAlignment="1" applyFont="1">
      <alignment shrinkToFit="0" vertical="bottom" wrapText="0"/>
    </xf>
    <xf borderId="0" fillId="14" fontId="10" numFmtId="166" xfId="0" applyAlignment="1" applyFont="1" applyNumberForma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166" xfId="0" applyAlignment="1" applyFont="1" applyNumberFormat="1">
      <alignment readingOrder="0" shrinkToFit="0" vertical="bottom" wrapText="0"/>
    </xf>
    <xf borderId="0" fillId="16" fontId="3" numFmtId="0" xfId="0" applyAlignment="1" applyFill="1" applyFont="1">
      <alignment horizontal="center" readingOrder="0" shrinkToFit="0" wrapText="0"/>
    </xf>
    <xf borderId="0" fillId="2" fontId="3" numFmtId="0" xfId="0" applyAlignment="1" applyFont="1">
      <alignment horizontal="center" shrinkToFit="0" wrapText="0"/>
    </xf>
    <xf borderId="0" fillId="14" fontId="10" numFmtId="166" xfId="0" applyAlignment="1" applyFont="1" applyNumberFormat="1">
      <alignment horizontal="center" shrinkToFit="0" vertical="bottom" wrapText="0"/>
    </xf>
    <xf borderId="0" fillId="14" fontId="13" numFmtId="0" xfId="0" applyAlignment="1" applyFont="1">
      <alignment horizontal="center" readingOrder="0" shrinkToFit="0" vertical="bottom" wrapText="0"/>
    </xf>
    <xf borderId="0" fillId="0" fontId="3" numFmtId="166" xfId="0" applyAlignment="1" applyFont="1" applyNumberFormat="1">
      <alignment horizontal="right" readingOrder="0" shrinkToFit="0" wrapText="0"/>
    </xf>
    <xf borderId="0" fillId="0" fontId="14" numFmtId="0" xfId="0" applyAlignment="1" applyFont="1">
      <alignment readingOrder="0" shrinkToFit="0" wrapText="0"/>
    </xf>
    <xf borderId="0" fillId="0" fontId="3" numFmtId="166" xfId="0" applyAlignment="1" applyFont="1" applyNumberFormat="1">
      <alignment horizontal="right" shrinkToFit="0" wrapText="0"/>
    </xf>
    <xf borderId="0" fillId="2" fontId="3" numFmtId="166" xfId="0" applyAlignment="1" applyFont="1" applyNumberFormat="1">
      <alignment horizontal="right" shrinkToFit="0" wrapText="0"/>
    </xf>
    <xf borderId="0" fillId="15" fontId="3" numFmtId="0" xfId="0" applyAlignment="1" applyFont="1">
      <alignment shrinkToFit="0" wrapText="0"/>
    </xf>
    <xf borderId="0" fillId="0" fontId="3" numFmtId="0" xfId="0" applyAlignment="1" applyFont="1">
      <alignment horizontal="left" readingOrder="0" shrinkToFit="0" wrapText="0"/>
    </xf>
    <xf borderId="0" fillId="17" fontId="3" numFmtId="0" xfId="0" applyAlignment="1" applyFill="1" applyFont="1">
      <alignment shrinkToFit="0" wrapText="0"/>
    </xf>
    <xf borderId="0" fillId="18" fontId="3" numFmtId="0" xfId="0" applyAlignment="1" applyFill="1" applyFont="1">
      <alignment shrinkToFit="0" wrapText="0"/>
    </xf>
    <xf borderId="0" fillId="16" fontId="3" numFmtId="0" xfId="0" applyAlignment="1" applyFont="1">
      <alignment shrinkToFit="0" wrapText="0"/>
    </xf>
    <xf borderId="0" fillId="19" fontId="3" numFmtId="0" xfId="0" applyAlignment="1" applyFill="1" applyFont="1">
      <alignment shrinkToFit="0" wrapText="0"/>
    </xf>
    <xf borderId="0" fillId="20" fontId="3" numFmtId="0" xfId="0" applyAlignment="1" applyFill="1" applyFont="1">
      <alignment shrinkToFit="0" wrapText="0"/>
    </xf>
    <xf borderId="0" fillId="21" fontId="3" numFmtId="0" xfId="0" applyAlignment="1" applyFill="1" applyFont="1">
      <alignment shrinkToFit="0" wrapText="0"/>
    </xf>
    <xf borderId="0" fillId="14" fontId="3" numFmtId="3" xfId="0" applyAlignment="1" applyFont="1" applyNumberFormat="1">
      <alignment horizontal="center" readingOrder="0" shrinkToFit="0" wrapText="0"/>
    </xf>
    <xf borderId="0" fillId="2" fontId="3" numFmtId="3" xfId="0" applyAlignment="1" applyFont="1" applyNumberFormat="1">
      <alignment horizontal="center" readingOrder="0" shrinkToFit="0" wrapText="0"/>
    </xf>
    <xf borderId="0" fillId="22" fontId="10" numFmtId="0" xfId="0" applyAlignment="1" applyFill="1" applyFont="1">
      <alignment readingOrder="0" shrinkToFit="0" vertical="bottom" wrapText="0"/>
    </xf>
    <xf borderId="0" fillId="14" fontId="10" numFmtId="3" xfId="0" applyAlignment="1" applyFont="1" applyNumberFormat="1">
      <alignment horizontal="center" shrinkToFit="0" vertical="bottom" wrapText="0"/>
    </xf>
    <xf borderId="0" fillId="0" fontId="15" numFmtId="0" xfId="0" applyAlignment="1" applyFont="1">
      <alignment horizontal="center" readingOrder="0" shrinkToFit="0" wrapText="0"/>
    </xf>
    <xf borderId="0" fillId="2" fontId="16" numFmtId="0" xfId="0" applyAlignment="1" applyFont="1">
      <alignment horizontal="center" readingOrder="0" shrinkToFit="0" wrapText="0"/>
    </xf>
    <xf borderId="0" fillId="22" fontId="3" numFmtId="0" xfId="0" applyAlignment="1" applyFont="1">
      <alignment readingOrder="0" shrinkToFit="0" wrapText="0"/>
    </xf>
    <xf borderId="0" fillId="0" fontId="17" numFmtId="0" xfId="0" applyAlignment="1" applyFont="1">
      <alignment readingOrder="0" shrinkToFit="0" wrapText="0"/>
    </xf>
    <xf borderId="0" fillId="2" fontId="18" numFmtId="0" xfId="0" applyAlignment="1" applyFont="1">
      <alignment horizontal="center" readingOrder="0" shrinkToFit="0" vertical="bottom" wrapText="0"/>
    </xf>
    <xf borderId="0" fillId="2" fontId="10" numFmtId="0" xfId="0" applyAlignment="1" applyFont="1">
      <alignment horizontal="center" readingOrder="0" shrinkToFit="0" vertical="bottom" wrapText="0"/>
    </xf>
    <xf borderId="0" fillId="2" fontId="10" numFmtId="166" xfId="0" applyAlignment="1" applyFont="1" applyNumberFormat="1">
      <alignment horizontal="right" readingOrder="0" shrinkToFit="0" vertical="bottom" wrapText="0"/>
    </xf>
    <xf borderId="1" fillId="4" fontId="3" numFmtId="166" xfId="0" applyAlignment="1" applyBorder="1" applyFont="1" applyNumberFormat="1">
      <alignment readingOrder="0"/>
    </xf>
    <xf borderId="3" fillId="4" fontId="3" numFmtId="166" xfId="0" applyBorder="1" applyFont="1" applyNumberFormat="1"/>
    <xf borderId="7" fillId="4" fontId="3" numFmtId="166" xfId="0" applyAlignment="1" applyBorder="1" applyFont="1" applyNumberFormat="1">
      <alignment readingOrder="0"/>
    </xf>
    <xf borderId="9" fillId="4" fontId="3" numFmtId="166" xfId="0" applyBorder="1" applyFont="1" applyNumberFormat="1"/>
    <xf borderId="7" fillId="4" fontId="3" numFmtId="166" xfId="0" applyBorder="1" applyFont="1" applyNumberFormat="1"/>
    <xf borderId="10" fillId="3" fontId="1" numFmtId="0" xfId="0" applyAlignment="1" applyBorder="1" applyFont="1">
      <alignment horizontal="center" readingOrder="0"/>
    </xf>
    <xf borderId="12" fillId="3" fontId="1" numFmtId="166" xfId="0" applyAlignment="1" applyBorder="1" applyFont="1" applyNumberFormat="1">
      <alignment horizontal="right" readingOrder="0"/>
    </xf>
    <xf borderId="13" fillId="2" fontId="1" numFmtId="0" xfId="0" applyAlignment="1" applyBorder="1" applyFont="1">
      <alignment horizontal="center"/>
    </xf>
    <xf borderId="14" fillId="0" fontId="2" numFmtId="0" xfId="0" applyBorder="1" applyFont="1"/>
    <xf borderId="15" fillId="6" fontId="10" numFmtId="0" xfId="0" applyAlignment="1" applyBorder="1" applyFont="1">
      <alignment horizontal="left" readingOrder="0" vertical="center"/>
    </xf>
    <xf borderId="8" fillId="6" fontId="3" numFmtId="0" xfId="0" applyAlignment="1" applyBorder="1" applyFont="1">
      <alignment horizontal="center" readingOrder="0" shrinkToFit="0" wrapText="0"/>
    </xf>
    <xf borderId="8" fillId="6" fontId="3" numFmtId="3" xfId="0" applyAlignment="1" applyBorder="1" applyFont="1" applyNumberFormat="1">
      <alignment horizontal="right" readingOrder="0" shrinkToFit="0" wrapText="0"/>
    </xf>
    <xf borderId="16" fillId="6" fontId="3" numFmtId="0" xfId="0" applyAlignment="1" applyBorder="1" applyFont="1">
      <alignment horizontal="center" readingOrder="0" vertical="center"/>
    </xf>
    <xf borderId="17" fillId="6" fontId="3" numFmtId="0" xfId="0" applyAlignment="1" applyBorder="1" applyFont="1">
      <alignment horizontal="center" readingOrder="0" vertic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1" fillId="6" fontId="10" numFmtId="166" xfId="0" applyAlignment="1" applyBorder="1" applyFont="1" applyNumberFormat="1">
      <alignment horizontal="center" readingOrder="0" vertical="bottom"/>
    </xf>
    <xf borderId="11" fillId="6" fontId="10" numFmtId="3" xfId="0" applyAlignment="1" applyBorder="1" applyFont="1" applyNumberFormat="1">
      <alignment horizontal="right" readingOrder="0" vertical="bottom"/>
    </xf>
    <xf borderId="12" fillId="6" fontId="10" numFmtId="3" xfId="0" applyAlignment="1" applyBorder="1" applyFont="1" applyNumberFormat="1">
      <alignment horizontal="right" readingOrder="0" vertical="bottom"/>
    </xf>
    <xf borderId="0" fillId="23" fontId="3" numFmtId="0" xfId="0" applyAlignment="1" applyFill="1" applyFont="1">
      <alignment shrinkToFit="0" wrapText="0"/>
    </xf>
    <xf borderId="0" fillId="2" fontId="10" numFmtId="0" xfId="0" applyAlignment="1" applyFont="1">
      <alignment horizontal="center" shrinkToFit="0" vertical="bottom" wrapText="0"/>
    </xf>
    <xf borderId="0" fillId="2" fontId="10" numFmtId="166" xfId="0" applyAlignment="1" applyFont="1" applyNumberFormat="1">
      <alignment horizontal="center" shrinkToFit="0" vertical="bottom" wrapText="0"/>
    </xf>
    <xf borderId="0" fillId="2" fontId="10" numFmtId="166" xfId="0" applyAlignment="1" applyFont="1" applyNumberFormat="1">
      <alignment horizontal="right" shrinkToFit="0" vertical="bottom" wrapText="0"/>
    </xf>
    <xf borderId="0" fillId="2" fontId="10" numFmtId="166" xfId="0" applyAlignment="1" applyFont="1" applyNumberFormat="1">
      <alignment horizontal="center" readingOrder="0" shrinkToFit="0" vertical="bottom" wrapText="0"/>
    </xf>
    <xf borderId="0" fillId="2" fontId="3" numFmtId="0" xfId="0" applyAlignment="1" applyFont="1">
      <alignment horizontal="center" shrinkToFit="0" wrapText="0"/>
    </xf>
    <xf borderId="0" fillId="14" fontId="19" numFmtId="0" xfId="0" applyAlignment="1" applyFont="1">
      <alignment horizontal="center"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Compiled!$B$30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Compiled!$C$2:$G$2</c:f>
            </c:strRef>
          </c:cat>
          <c:val>
            <c:numRef>
              <c:f>Compiled!$C$30:$G$30</c:f>
              <c:numCache/>
            </c:numRef>
          </c:val>
          <c:smooth val="0"/>
        </c:ser>
        <c:ser>
          <c:idx val="1"/>
          <c:order val="1"/>
          <c:tx>
            <c:strRef>
              <c:f>Compiled!$B$6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Compiled!$C$2:$G$2</c:f>
            </c:strRef>
          </c:cat>
          <c:val>
            <c:numRef>
              <c:f>Compiled!$C$6:$G$6</c:f>
              <c:numCache/>
            </c:numRef>
          </c:val>
          <c:smooth val="0"/>
        </c:ser>
        <c:ser>
          <c:idx val="2"/>
          <c:order val="2"/>
          <c:tx>
            <c:strRef>
              <c:f>Compiled!$B$52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Compiled!$C$2:$G$2</c:f>
            </c:strRef>
          </c:cat>
          <c:val>
            <c:numRef>
              <c:f>Compiled!$C$52:$G$52</c:f>
              <c:numCache/>
            </c:numRef>
          </c:val>
          <c:smooth val="0"/>
        </c:ser>
        <c:axId val="825251797"/>
        <c:axId val="1431215411"/>
      </c:lineChart>
      <c:catAx>
        <c:axId val="82525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215411"/>
      </c:catAx>
      <c:valAx>
        <c:axId val="1431215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251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809625</xdr:colOff>
      <xdr:row>20</xdr:row>
      <xdr:rowOff>28575</xdr:rowOff>
    </xdr:from>
    <xdr:ext cx="4029075" cy="3162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895350</xdr:colOff>
      <xdr:row>20</xdr:row>
      <xdr:rowOff>28575</xdr:rowOff>
    </xdr:from>
    <xdr:ext cx="4029075" cy="31623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8</xdr:row>
      <xdr:rowOff>104775</xdr:rowOff>
    </xdr:from>
    <xdr:ext cx="1104900" cy="885825"/>
    <xdr:grpSp>
      <xdr:nvGrpSpPr>
        <xdr:cNvPr id="2" name="Shape 2" title="Drawing"/>
        <xdr:cNvGrpSpPr/>
      </xdr:nvGrpSpPr>
      <xdr:grpSpPr>
        <a:xfrm>
          <a:off x="2610825" y="661850"/>
          <a:ext cx="1086300" cy="862800"/>
          <a:chOff x="2610825" y="661850"/>
          <a:chExt cx="1086300" cy="862800"/>
        </a:xfrm>
      </xdr:grpSpPr>
      <xdr:cxnSp>
        <xdr:nvCxnSpPr>
          <xdr:cNvPr id="3" name="Shape 3"/>
          <xdr:cNvCxnSpPr/>
        </xdr:nvCxnSpPr>
        <xdr:spPr>
          <a:xfrm>
            <a:off x="2610825" y="661850"/>
            <a:ext cx="1086300" cy="8628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log.hubspot.com/marketing/startup-marketing-budget" TargetMode="External"/><Relationship Id="rId3" Type="http://schemas.openxmlformats.org/officeDocument/2006/relationships/hyperlink" Target="https://www.vendus.pt/" TargetMode="External"/><Relationship Id="rId4" Type="http://schemas.openxmlformats.org/officeDocument/2006/relationships/hyperlink" Target="https://issuu.com/kevinkevinkevinkevin/docs/marketing_team_structures_report_2017/s/11347142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bes.com/sites/theyec/2020/05/14/how-to-determine-what-your-business-is-worth-in-five-minutes-or-less/" TargetMode="External"/><Relationship Id="rId2" Type="http://schemas.openxmlformats.org/officeDocument/2006/relationships/hyperlink" Target="https://files.dre.pt/1s/2022/12/24501/0000200003.pdf" TargetMode="External"/><Relationship Id="rId3" Type="http://schemas.openxmlformats.org/officeDocument/2006/relationships/hyperlink" Target="https://store.creality.com/products/halot-one-pro-resin-3d-printer?sscid=51k7_16y6fe&amp;" TargetMode="External"/><Relationship Id="rId4" Type="http://schemas.openxmlformats.org/officeDocument/2006/relationships/hyperlink" Target="https://store.creality.com/products/uw-01-washing-curing-machine?spm=..collection_c126e9dd-81fa-4f64-9e2c-9caddfa8f9cf.albums_1.1&amp;spm_prev=..product_bb476363-6fb3-4335-9cd3-a78b0a13dce8.header_1.1" TargetMode="External"/><Relationship Id="rId5" Type="http://schemas.openxmlformats.org/officeDocument/2006/relationships/hyperlink" Target="https://eportugal.gov.pt/servicos/criar-uma-empresa-online" TargetMode="External"/><Relationship Id="rId6" Type="http://schemas.openxmlformats.org/officeDocument/2006/relationships/hyperlink" Target="https://www.e-konomista.pt/quanto-custa-um-contabilista/" TargetMode="External"/><Relationship Id="rId7" Type="http://schemas.openxmlformats.org/officeDocument/2006/relationships/hyperlink" Target="https://eco.sapo.pt/2018/11/29/ipo-science4you-em-15-numeros/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bes.com/sites/theyec/2020/05/14/how-to-determine-what-your-business-is-worth-in-five-minutes-or-less/" TargetMode="External"/><Relationship Id="rId2" Type="http://schemas.openxmlformats.org/officeDocument/2006/relationships/hyperlink" Target="https://files.dre.pt/1s/2022/12/24501/0000200003.pdf" TargetMode="External"/><Relationship Id="rId3" Type="http://schemas.openxmlformats.org/officeDocument/2006/relationships/hyperlink" Target="https://www.ctt.pt/empresas/encomendas-e-correio/enviar/correio/enviar-para-portugal/correio-normal" TargetMode="External"/><Relationship Id="rId4" Type="http://schemas.openxmlformats.org/officeDocument/2006/relationships/hyperlink" Target="https://formlabs.com/blog/injection-molding-cost/" TargetMode="External"/><Relationship Id="rId5" Type="http://schemas.openxmlformats.org/officeDocument/2006/relationships/hyperlink" Target="https://www.e-konomista.pt/quanto-custa-um-contabilista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bes.com/sites/theyec/2020/05/14/how-to-determine-what-your-business-is-worth-in-five-minutes-or-less/" TargetMode="External"/><Relationship Id="rId2" Type="http://schemas.openxmlformats.org/officeDocument/2006/relationships/hyperlink" Target="https://files.dre.pt/1s/2022/12/24501/0000200003.pdf" TargetMode="External"/><Relationship Id="rId3" Type="http://schemas.openxmlformats.org/officeDocument/2006/relationships/hyperlink" Target="https://www.ctt.pt/empresas/e-commerce-e-logistica/portal-logistica/simular-custo" TargetMode="External"/><Relationship Id="rId4" Type="http://schemas.openxmlformats.org/officeDocument/2006/relationships/hyperlink" Target="https://www.e-konomista.pt/quanto-custa-um-contabilista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files.dre.pt/1s/2022/12/24501/0000200003.pdf" TargetMode="External"/><Relationship Id="rId2" Type="http://schemas.openxmlformats.org/officeDocument/2006/relationships/hyperlink" Target="https://www.ctt.pt/empresas/e-commerce-e-logistica/portal-logistica/simular-custo" TargetMode="External"/><Relationship Id="rId3" Type="http://schemas.openxmlformats.org/officeDocument/2006/relationships/hyperlink" Target="https://www.e-konomista.pt/quanto-custa-um-contabilista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files.dre.pt/1s/2022/12/24501/0000200003.pdf" TargetMode="External"/><Relationship Id="rId2" Type="http://schemas.openxmlformats.org/officeDocument/2006/relationships/hyperlink" Target="https://www.ctt.pt/empresas/e-commerce-e-logistica/portal-logistica/simular-custo" TargetMode="External"/><Relationship Id="rId3" Type="http://schemas.openxmlformats.org/officeDocument/2006/relationships/hyperlink" Target="https://www.e-konomista.pt/quanto-custa-um-contabilista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2.13"/>
    <col customWidth="1" min="3" max="3" width="10.75"/>
    <col customWidth="1" min="4" max="6" width="9.88"/>
    <col customWidth="1" min="7" max="7" width="10.0"/>
  </cols>
  <sheetData>
    <row r="2">
      <c r="B2" s="1" t="s">
        <v>0</v>
      </c>
      <c r="C2" s="2">
        <v>1.0</v>
      </c>
      <c r="D2" s="2">
        <v>2.0</v>
      </c>
      <c r="E2" s="2">
        <v>3.0</v>
      </c>
      <c r="F2" s="2">
        <v>4.0</v>
      </c>
      <c r="G2" s="3">
        <v>5.0</v>
      </c>
    </row>
    <row r="3">
      <c r="B3" s="4" t="s">
        <v>1</v>
      </c>
      <c r="C3" s="5"/>
      <c r="D3" s="5"/>
      <c r="E3" s="5"/>
      <c r="F3" s="5"/>
      <c r="G3" s="6"/>
    </row>
    <row r="4">
      <c r="B4" s="7" t="s">
        <v>2</v>
      </c>
      <c r="C4" s="8">
        <v>0.0</v>
      </c>
      <c r="D4" s="8">
        <f t="shared" ref="D4:G4" si="1">66.6666667</f>
        <v>66.6666667</v>
      </c>
      <c r="E4" s="8">
        <f t="shared" si="1"/>
        <v>66.6666667</v>
      </c>
      <c r="F4" s="8">
        <f t="shared" si="1"/>
        <v>66.6666667</v>
      </c>
      <c r="G4" s="9">
        <f t="shared" si="1"/>
        <v>66.6666667</v>
      </c>
    </row>
    <row r="5">
      <c r="B5" s="7" t="s">
        <v>3</v>
      </c>
      <c r="C5" s="8">
        <f>SUM('Year 1'!I4:I11)</f>
        <v>0</v>
      </c>
      <c r="D5" s="10">
        <f>3</f>
        <v>3</v>
      </c>
      <c r="E5" s="10">
        <v>7.5</v>
      </c>
      <c r="F5" s="10">
        <v>21.0</v>
      </c>
      <c r="G5" s="11">
        <v>39.0</v>
      </c>
    </row>
    <row r="6">
      <c r="B6" s="7" t="s">
        <v>4</v>
      </c>
      <c r="C6" s="12">
        <f t="shared" ref="C6:G6" si="2">C5*C4</f>
        <v>0</v>
      </c>
      <c r="D6" s="12">
        <f t="shared" si="2"/>
        <v>200.0000001</v>
      </c>
      <c r="E6" s="12">
        <f t="shared" si="2"/>
        <v>500.0000003</v>
      </c>
      <c r="F6" s="12">
        <f t="shared" si="2"/>
        <v>1400.000001</v>
      </c>
      <c r="G6" s="13">
        <f t="shared" si="2"/>
        <v>2600.000001</v>
      </c>
    </row>
    <row r="7">
      <c r="B7" s="7" t="s">
        <v>5</v>
      </c>
      <c r="C7" s="8">
        <v>0.0</v>
      </c>
      <c r="D7" s="8">
        <f>'Year 2'!I19</f>
        <v>41</v>
      </c>
      <c r="E7" s="8">
        <f>'Year 3'!I19</f>
        <v>36</v>
      </c>
      <c r="F7" s="8">
        <f>'Year 4'!I19</f>
        <v>36</v>
      </c>
      <c r="G7" s="9">
        <f>'Year 5'!I19</f>
        <v>36</v>
      </c>
    </row>
    <row r="8">
      <c r="B8" s="7" t="s">
        <v>6</v>
      </c>
      <c r="C8" s="12">
        <f t="shared" ref="C8:G8" si="3">C7*C5</f>
        <v>0</v>
      </c>
      <c r="D8" s="12">
        <f t="shared" si="3"/>
        <v>123</v>
      </c>
      <c r="E8" s="12">
        <f t="shared" si="3"/>
        <v>270</v>
      </c>
      <c r="F8" s="12">
        <f t="shared" si="3"/>
        <v>756</v>
      </c>
      <c r="G8" s="13">
        <f t="shared" si="3"/>
        <v>1404</v>
      </c>
    </row>
    <row r="9">
      <c r="B9" s="7" t="s">
        <v>7</v>
      </c>
      <c r="C9" s="12">
        <f t="shared" ref="C9:G9" si="4">C6-C8</f>
        <v>0</v>
      </c>
      <c r="D9" s="12">
        <f t="shared" si="4"/>
        <v>77.0000001</v>
      </c>
      <c r="E9" s="12">
        <f t="shared" si="4"/>
        <v>230.0000003</v>
      </c>
      <c r="F9" s="12">
        <f t="shared" si="4"/>
        <v>644.0000007</v>
      </c>
      <c r="G9" s="13">
        <f t="shared" si="4"/>
        <v>1196.000001</v>
      </c>
    </row>
    <row r="10">
      <c r="B10" s="14" t="s">
        <v>8</v>
      </c>
      <c r="C10" s="5"/>
      <c r="D10" s="5"/>
      <c r="E10" s="5"/>
      <c r="F10" s="5"/>
      <c r="G10" s="6"/>
    </row>
    <row r="11">
      <c r="B11" s="15" t="s">
        <v>9</v>
      </c>
      <c r="C11" s="16">
        <v>10.0</v>
      </c>
      <c r="D11" s="16">
        <v>45.0</v>
      </c>
      <c r="E11" s="16">
        <v>45.0</v>
      </c>
      <c r="F11" s="16">
        <v>60.0</v>
      </c>
      <c r="G11" s="17">
        <v>60.0</v>
      </c>
    </row>
    <row r="12">
      <c r="B12" s="15" t="s">
        <v>10</v>
      </c>
      <c r="C12" s="16">
        <v>3.0</v>
      </c>
      <c r="D12" s="16">
        <v>5.0</v>
      </c>
      <c r="E12" s="16">
        <v>5.0</v>
      </c>
      <c r="F12" s="16">
        <v>6.0</v>
      </c>
      <c r="G12" s="17">
        <v>6.0</v>
      </c>
    </row>
    <row r="13">
      <c r="B13" s="15" t="s">
        <v>11</v>
      </c>
      <c r="C13" s="16">
        <v>16.5</v>
      </c>
      <c r="D13" s="16">
        <v>20.0</v>
      </c>
      <c r="E13" s="16">
        <v>50.0</v>
      </c>
      <c r="F13" s="16">
        <v>50.0</v>
      </c>
      <c r="G13" s="17">
        <v>50.0</v>
      </c>
    </row>
    <row r="14">
      <c r="B14" s="15" t="s">
        <v>12</v>
      </c>
      <c r="C14" s="18">
        <f t="shared" ref="C14:G14" si="5">C12*C13</f>
        <v>49.5</v>
      </c>
      <c r="D14" s="19">
        <f t="shared" si="5"/>
        <v>100</v>
      </c>
      <c r="E14" s="19">
        <f t="shared" si="5"/>
        <v>250</v>
      </c>
      <c r="F14" s="19">
        <f t="shared" si="5"/>
        <v>300</v>
      </c>
      <c r="G14" s="20">
        <f t="shared" si="5"/>
        <v>300</v>
      </c>
    </row>
    <row r="15">
      <c r="B15" s="21" t="s">
        <v>13</v>
      </c>
      <c r="C15" s="5"/>
      <c r="D15" s="5"/>
      <c r="E15" s="5"/>
      <c r="F15" s="5"/>
      <c r="G15" s="6"/>
      <c r="O15" s="22" t="s">
        <v>14</v>
      </c>
    </row>
    <row r="16">
      <c r="B16" s="23" t="s">
        <v>15</v>
      </c>
      <c r="C16" s="24">
        <v>10.0</v>
      </c>
      <c r="D16" s="24">
        <f>15</f>
        <v>15</v>
      </c>
      <c r="E16" s="24">
        <f>45</f>
        <v>45</v>
      </c>
      <c r="F16" s="24">
        <f>100</f>
        <v>100</v>
      </c>
      <c r="G16" s="25">
        <f>300</f>
        <v>300</v>
      </c>
      <c r="I16" s="26" t="s">
        <v>16</v>
      </c>
      <c r="O16" s="26" t="s">
        <v>17</v>
      </c>
    </row>
    <row r="17">
      <c r="B17" s="23" t="s">
        <v>18</v>
      </c>
      <c r="C17" s="24">
        <v>0.0</v>
      </c>
      <c r="D17" s="27">
        <f t="shared" ref="D17:F17" si="6">D5*3.5</f>
        <v>10.5</v>
      </c>
      <c r="E17" s="27">
        <f t="shared" si="6"/>
        <v>26.25</v>
      </c>
      <c r="F17" s="27">
        <f t="shared" si="6"/>
        <v>73.5</v>
      </c>
      <c r="G17" s="28">
        <f>3.5*G5</f>
        <v>136.5</v>
      </c>
      <c r="I17" s="22"/>
    </row>
    <row r="18">
      <c r="B18" s="23" t="s">
        <v>10</v>
      </c>
      <c r="C18" s="24">
        <v>1.0</v>
      </c>
      <c r="D18" s="24">
        <v>2.0</v>
      </c>
      <c r="E18" s="24">
        <v>4.0</v>
      </c>
      <c r="F18" s="24">
        <v>8.0</v>
      </c>
      <c r="G18" s="25">
        <v>9.0</v>
      </c>
      <c r="I18" s="26" t="s">
        <v>19</v>
      </c>
    </row>
    <row r="19">
      <c r="B19" s="23" t="s">
        <v>11</v>
      </c>
      <c r="C19" s="24">
        <v>16.0</v>
      </c>
      <c r="D19" s="24">
        <v>20.0</v>
      </c>
      <c r="E19" s="24">
        <v>40.0</v>
      </c>
      <c r="F19" s="24">
        <v>45.0</v>
      </c>
      <c r="G19" s="25">
        <v>45.0</v>
      </c>
    </row>
    <row r="20">
      <c r="B20" s="23" t="s">
        <v>12</v>
      </c>
      <c r="C20" s="29">
        <f t="shared" ref="C20:G20" si="7">C19*C18+C16</f>
        <v>26</v>
      </c>
      <c r="D20" s="29">
        <f t="shared" si="7"/>
        <v>55</v>
      </c>
      <c r="E20" s="29">
        <f t="shared" si="7"/>
        <v>205</v>
      </c>
      <c r="F20" s="29">
        <f t="shared" si="7"/>
        <v>460</v>
      </c>
      <c r="G20" s="30">
        <f t="shared" si="7"/>
        <v>705</v>
      </c>
    </row>
    <row r="21">
      <c r="B21" s="31" t="s">
        <v>20</v>
      </c>
      <c r="C21" s="5"/>
      <c r="D21" s="5"/>
      <c r="E21" s="5"/>
      <c r="F21" s="5"/>
      <c r="G21" s="6"/>
    </row>
    <row r="22">
      <c r="B22" s="32" t="s">
        <v>21</v>
      </c>
      <c r="C22" s="33">
        <f>0</f>
        <v>0</v>
      </c>
      <c r="D22" s="33">
        <f>SUM('Year 2'!E16)+120</f>
        <v>870</v>
      </c>
      <c r="E22" s="33">
        <f>SUM('Year 3'!E19)+120</f>
        <v>1120</v>
      </c>
      <c r="F22" s="34">
        <v>120.0</v>
      </c>
      <c r="G22" s="35">
        <v>120.0</v>
      </c>
    </row>
    <row r="23">
      <c r="B23" s="32" t="s">
        <v>10</v>
      </c>
      <c r="C23" s="34">
        <v>2.0</v>
      </c>
      <c r="D23" s="34">
        <v>2.0</v>
      </c>
      <c r="E23" s="34">
        <v>3.0</v>
      </c>
      <c r="F23" s="34">
        <v>3.0</v>
      </c>
      <c r="G23" s="35">
        <v>3.0</v>
      </c>
    </row>
    <row r="24">
      <c r="B24" s="32" t="s">
        <v>11</v>
      </c>
      <c r="C24" s="34">
        <v>14.0</v>
      </c>
      <c r="D24" s="34">
        <v>20.0</v>
      </c>
      <c r="E24" s="34">
        <v>25.0</v>
      </c>
      <c r="F24" s="34">
        <v>30.0</v>
      </c>
      <c r="G24" s="35">
        <v>30.0</v>
      </c>
    </row>
    <row r="25">
      <c r="B25" s="32" t="s">
        <v>22</v>
      </c>
      <c r="C25" s="33">
        <f>'Year 1'!E4</f>
        <v>0</v>
      </c>
      <c r="D25" s="36">
        <f>12</f>
        <v>12</v>
      </c>
      <c r="E25" s="36">
        <f>16.8</f>
        <v>16.8</v>
      </c>
      <c r="F25" s="36">
        <f>'Year 4'!E4/1000</f>
        <v>16.8</v>
      </c>
      <c r="G25" s="37">
        <f>'Year 5'!E4/1000</f>
        <v>16.8</v>
      </c>
    </row>
    <row r="26">
      <c r="B26" s="32" t="s">
        <v>12</v>
      </c>
      <c r="C26" s="33">
        <f t="shared" ref="C26:G26" si="8">C23*C24</f>
        <v>28</v>
      </c>
      <c r="D26" s="33">
        <f t="shared" si="8"/>
        <v>40</v>
      </c>
      <c r="E26" s="33">
        <f t="shared" si="8"/>
        <v>75</v>
      </c>
      <c r="F26" s="33">
        <f t="shared" si="8"/>
        <v>90</v>
      </c>
      <c r="G26" s="38">
        <f t="shared" si="8"/>
        <v>90</v>
      </c>
    </row>
    <row r="27">
      <c r="B27" s="39" t="s">
        <v>23</v>
      </c>
      <c r="C27" s="5"/>
      <c r="D27" s="5"/>
      <c r="E27" s="5"/>
      <c r="F27" s="5"/>
      <c r="G27" s="6"/>
    </row>
    <row r="28">
      <c r="B28" s="40" t="s">
        <v>24</v>
      </c>
      <c r="C28" s="41">
        <f t="shared" ref="C28:G28" si="9">C14+C20+C26+C25</f>
        <v>103.5</v>
      </c>
      <c r="D28" s="41">
        <f t="shared" si="9"/>
        <v>207</v>
      </c>
      <c r="E28" s="41">
        <f t="shared" si="9"/>
        <v>546.8</v>
      </c>
      <c r="F28" s="41">
        <f t="shared" si="9"/>
        <v>866.8</v>
      </c>
      <c r="G28" s="42">
        <f t="shared" si="9"/>
        <v>1111.8</v>
      </c>
    </row>
    <row r="29">
      <c r="B29" s="40" t="s">
        <v>25</v>
      </c>
      <c r="C29" s="41">
        <f t="shared" ref="C29:G29" si="10">C22/1000+C11</f>
        <v>10</v>
      </c>
      <c r="D29" s="41">
        <f t="shared" si="10"/>
        <v>45.87</v>
      </c>
      <c r="E29" s="41">
        <f t="shared" si="10"/>
        <v>46.12</v>
      </c>
      <c r="F29" s="41">
        <f t="shared" si="10"/>
        <v>60.12</v>
      </c>
      <c r="G29" s="42">
        <f t="shared" si="10"/>
        <v>60.12</v>
      </c>
    </row>
    <row r="30">
      <c r="B30" s="40" t="s">
        <v>26</v>
      </c>
      <c r="C30" s="41">
        <f t="shared" ref="C30:G30" si="11">(C29+C28+C8)/1000</f>
        <v>0.1135</v>
      </c>
      <c r="D30" s="41">
        <f t="shared" si="11"/>
        <v>0.37587</v>
      </c>
      <c r="E30" s="41">
        <f t="shared" si="11"/>
        <v>0.86292</v>
      </c>
      <c r="F30" s="41">
        <f t="shared" si="11"/>
        <v>1.68292</v>
      </c>
      <c r="G30" s="42">
        <f t="shared" si="11"/>
        <v>2.57592</v>
      </c>
    </row>
    <row r="31">
      <c r="B31" s="40" t="s">
        <v>27</v>
      </c>
      <c r="C31" s="43">
        <f t="shared" ref="C31:G31" si="12">C6-C30*1000</f>
        <v>-113.5</v>
      </c>
      <c r="D31" s="43">
        <f t="shared" si="12"/>
        <v>-175.8699999</v>
      </c>
      <c r="E31" s="43">
        <f t="shared" si="12"/>
        <v>-362.9199998</v>
      </c>
      <c r="F31" s="43">
        <f t="shared" si="12"/>
        <v>-282.9199993</v>
      </c>
      <c r="G31" s="44">
        <f t="shared" si="12"/>
        <v>24.0800013</v>
      </c>
    </row>
    <row r="32">
      <c r="B32" s="45" t="s">
        <v>28</v>
      </c>
      <c r="C32" s="46">
        <v>150.0</v>
      </c>
      <c r="D32" s="46">
        <v>250.0</v>
      </c>
      <c r="E32" s="46">
        <v>400.0</v>
      </c>
      <c r="F32" s="46">
        <v>400.0</v>
      </c>
      <c r="G32" s="47">
        <v>100.0</v>
      </c>
    </row>
    <row r="33">
      <c r="C33" s="48">
        <f>ROUNDUP(-SUMIF(C31:G31,"&lt;0"),-3)*1000</f>
        <v>1000000</v>
      </c>
    </row>
    <row r="38">
      <c r="J38" s="49" t="s">
        <v>29</v>
      </c>
      <c r="O38" s="49" t="s">
        <v>30</v>
      </c>
    </row>
    <row r="40">
      <c r="O40" s="49"/>
      <c r="P40" s="49"/>
      <c r="Q40" s="49"/>
      <c r="R40" s="49"/>
    </row>
    <row r="41">
      <c r="J41" s="22" t="s">
        <v>31</v>
      </c>
    </row>
    <row r="42">
      <c r="B42" s="22" t="s">
        <v>32</v>
      </c>
    </row>
    <row r="43">
      <c r="B43" s="50" t="s">
        <v>33</v>
      </c>
      <c r="C43" s="51">
        <v>-113.5</v>
      </c>
      <c r="D43" s="51">
        <v>-175.86999990000004</v>
      </c>
      <c r="E43" s="51">
        <v>-362.91999975</v>
      </c>
      <c r="F43" s="51">
        <v>-282.9199993000002</v>
      </c>
      <c r="G43" s="51">
        <v>24.08000129999982</v>
      </c>
      <c r="H43" s="52">
        <f>SUM(C43:F43)</f>
        <v>-935.209999</v>
      </c>
    </row>
  </sheetData>
  <mergeCells count="8">
    <mergeCell ref="B3:G3"/>
    <mergeCell ref="B10:G10"/>
    <mergeCell ref="B15:G15"/>
    <mergeCell ref="B21:G21"/>
    <mergeCell ref="B27:G27"/>
    <mergeCell ref="C33:G33"/>
    <mergeCell ref="J38:M39"/>
    <mergeCell ref="O38:R39"/>
  </mergeCells>
  <hyperlinks>
    <hyperlink r:id="rId2" ref="I16"/>
    <hyperlink r:id="rId3" ref="O16"/>
    <hyperlink r:id="rId4" ref="I18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2.25"/>
    <col customWidth="1" min="3" max="3" width="36.13"/>
    <col customWidth="1" min="8" max="8" width="17.5"/>
    <col customWidth="1" min="12" max="12" width="13.63"/>
    <col customWidth="1" min="13" max="13" width="22.25"/>
    <col customWidth="1" min="19" max="19" width="16.63"/>
  </cols>
  <sheetData>
    <row r="1">
      <c r="A1" s="53" t="s">
        <v>34</v>
      </c>
      <c r="B1" s="53"/>
      <c r="C1" s="53"/>
      <c r="D1" s="53"/>
      <c r="E1" s="53"/>
      <c r="F1" s="54"/>
      <c r="G1" s="53"/>
      <c r="H1" s="53"/>
      <c r="I1" s="53"/>
      <c r="J1" s="53"/>
      <c r="K1" s="54"/>
      <c r="L1" s="53"/>
      <c r="M1" s="53"/>
      <c r="N1" s="53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>
      <c r="A2" s="55"/>
      <c r="B2" s="56" t="s">
        <v>35</v>
      </c>
      <c r="F2" s="57"/>
      <c r="G2" s="58" t="s">
        <v>36</v>
      </c>
      <c r="K2" s="59"/>
      <c r="L2" s="56" t="s">
        <v>33</v>
      </c>
      <c r="P2" s="54"/>
      <c r="Q2" s="54"/>
      <c r="R2" s="54"/>
      <c r="S2" s="54"/>
      <c r="T2" s="53" t="s">
        <v>37</v>
      </c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</row>
    <row r="3">
      <c r="A3" s="60"/>
      <c r="B3" s="61" t="s">
        <v>38</v>
      </c>
      <c r="C3" s="61" t="s">
        <v>39</v>
      </c>
      <c r="D3" s="61" t="s">
        <v>40</v>
      </c>
      <c r="E3" s="61" t="s">
        <v>41</v>
      </c>
      <c r="F3" s="54"/>
      <c r="G3" s="62" t="s">
        <v>39</v>
      </c>
      <c r="H3" s="63" t="s">
        <v>42</v>
      </c>
      <c r="I3" s="63" t="s">
        <v>43</v>
      </c>
      <c r="J3" s="62" t="s">
        <v>41</v>
      </c>
      <c r="K3" s="60"/>
      <c r="L3" s="61" t="s">
        <v>38</v>
      </c>
      <c r="M3" s="61" t="s">
        <v>39</v>
      </c>
      <c r="N3" s="61" t="s">
        <v>40</v>
      </c>
      <c r="O3" s="61" t="s">
        <v>41</v>
      </c>
      <c r="P3" s="54"/>
      <c r="Q3" s="54"/>
      <c r="R3" s="53" t="s">
        <v>44</v>
      </c>
      <c r="S3" s="64">
        <v>4.6E7</v>
      </c>
      <c r="T3" s="65">
        <v>0.05</v>
      </c>
      <c r="U3" s="66">
        <f>S3*T3</f>
        <v>2300000</v>
      </c>
      <c r="V3" s="54"/>
      <c r="W3" s="54"/>
      <c r="X3" s="54"/>
      <c r="Y3" s="54"/>
      <c r="Z3" s="54"/>
      <c r="AA3" s="54"/>
      <c r="AB3" s="54"/>
      <c r="AC3" s="54"/>
      <c r="AD3" s="54"/>
      <c r="AE3" s="54"/>
    </row>
    <row r="4">
      <c r="A4" s="57"/>
      <c r="B4" s="67"/>
      <c r="C4" s="68" t="s">
        <v>45</v>
      </c>
      <c r="D4" s="69" t="s">
        <v>46</v>
      </c>
      <c r="E4" s="70">
        <v>0.0</v>
      </c>
      <c r="F4" s="71"/>
      <c r="G4" s="72"/>
      <c r="H4" s="73"/>
      <c r="I4" s="72"/>
      <c r="J4" s="74">
        <f>H4*I4</f>
        <v>0</v>
      </c>
      <c r="K4" s="75"/>
      <c r="L4" s="76" t="s">
        <v>47</v>
      </c>
      <c r="M4" s="68" t="s">
        <v>48</v>
      </c>
      <c r="N4" s="68" t="s">
        <v>33</v>
      </c>
      <c r="O4" s="70">
        <v>60000.0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</row>
    <row r="5">
      <c r="A5" s="75"/>
      <c r="B5" s="77" t="s">
        <v>49</v>
      </c>
      <c r="C5" s="78" t="s">
        <v>50</v>
      </c>
      <c r="D5" s="78" t="s">
        <v>51</v>
      </c>
      <c r="E5" s="79">
        <f>760*14*5</f>
        <v>53200</v>
      </c>
      <c r="F5" s="54"/>
      <c r="G5" s="80"/>
      <c r="H5" s="81"/>
      <c r="I5" s="80"/>
      <c r="J5" s="81"/>
      <c r="K5" s="75"/>
      <c r="L5" s="78"/>
      <c r="M5" s="78" t="s">
        <v>52</v>
      </c>
      <c r="N5" s="78" t="s">
        <v>33</v>
      </c>
      <c r="O5" s="79">
        <v>10000.0</v>
      </c>
      <c r="P5" s="54"/>
      <c r="Q5" s="54"/>
      <c r="R5" s="53" t="s">
        <v>53</v>
      </c>
      <c r="S5" s="65">
        <v>0.5</v>
      </c>
      <c r="T5" s="66">
        <f>U3*S5</f>
        <v>1150000</v>
      </c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</row>
    <row r="6">
      <c r="A6" s="82"/>
      <c r="B6" s="83"/>
      <c r="C6" s="83" t="s">
        <v>54</v>
      </c>
      <c r="D6" s="83" t="s">
        <v>55</v>
      </c>
      <c r="E6" s="84">
        <f>300*6*1.7</f>
        <v>3060</v>
      </c>
      <c r="F6" s="85"/>
      <c r="G6" s="86"/>
      <c r="H6" s="87"/>
      <c r="I6" s="86"/>
      <c r="J6" s="87"/>
      <c r="K6" s="82"/>
      <c r="L6" s="83"/>
      <c r="M6" s="83"/>
      <c r="N6" s="83"/>
      <c r="O6" s="84"/>
      <c r="P6" s="85"/>
      <c r="Q6" s="85"/>
      <c r="R6" s="88" t="s">
        <v>56</v>
      </c>
      <c r="S6" s="88" t="s">
        <v>57</v>
      </c>
      <c r="T6" s="89">
        <v>300000.0</v>
      </c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</row>
    <row r="7">
      <c r="A7" s="75"/>
      <c r="B7" s="77" t="s">
        <v>58</v>
      </c>
      <c r="C7" s="78" t="s">
        <v>59</v>
      </c>
      <c r="D7" s="90" t="s">
        <v>60</v>
      </c>
      <c r="E7" s="79">
        <v>240.0</v>
      </c>
      <c r="F7" s="54"/>
      <c r="G7" s="80"/>
      <c r="H7" s="81"/>
      <c r="I7" s="80"/>
      <c r="J7" s="81"/>
      <c r="K7" s="75"/>
      <c r="L7" s="78"/>
      <c r="M7" s="78"/>
      <c r="N7" s="78"/>
      <c r="O7" s="79"/>
      <c r="P7" s="54"/>
      <c r="Q7" s="54"/>
      <c r="R7" s="53" t="s">
        <v>61</v>
      </c>
      <c r="S7" s="53">
        <v>2.28</v>
      </c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</row>
    <row r="8">
      <c r="A8" s="75"/>
      <c r="B8" s="76" t="s">
        <v>62</v>
      </c>
      <c r="C8" s="68" t="s">
        <v>63</v>
      </c>
      <c r="D8" s="90" t="s">
        <v>60</v>
      </c>
      <c r="E8" s="70">
        <v>120.0</v>
      </c>
      <c r="F8" s="54"/>
      <c r="G8" s="86"/>
      <c r="H8" s="87"/>
      <c r="I8" s="86"/>
      <c r="J8" s="87"/>
      <c r="K8" s="75"/>
      <c r="L8" s="68"/>
      <c r="M8" s="68"/>
      <c r="N8" s="68"/>
      <c r="O8" s="70"/>
      <c r="P8" s="54"/>
      <c r="Q8" s="54"/>
      <c r="R8" s="53" t="s">
        <v>64</v>
      </c>
      <c r="S8" s="66">
        <f>(T5+T6)*S7</f>
        <v>3306000</v>
      </c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</row>
    <row r="9">
      <c r="A9" s="57"/>
      <c r="B9" s="91"/>
      <c r="C9" s="78" t="s">
        <v>65</v>
      </c>
      <c r="D9" s="78" t="s">
        <v>66</v>
      </c>
      <c r="E9" s="79">
        <v>175.0</v>
      </c>
      <c r="F9" s="54"/>
      <c r="G9" s="80"/>
      <c r="H9" s="81"/>
      <c r="I9" s="80"/>
      <c r="J9" s="81"/>
      <c r="K9" s="57"/>
      <c r="L9" s="91"/>
      <c r="M9" s="78"/>
      <c r="N9" s="78"/>
      <c r="O9" s="79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</row>
    <row r="10">
      <c r="A10" s="75"/>
      <c r="B10" s="68" t="s">
        <v>67</v>
      </c>
      <c r="C10" s="68" t="s">
        <v>68</v>
      </c>
      <c r="D10" s="68" t="s">
        <v>66</v>
      </c>
      <c r="E10" s="70">
        <v>3000.0</v>
      </c>
      <c r="F10" s="54"/>
      <c r="G10" s="83"/>
      <c r="H10" s="92"/>
      <c r="I10" s="83"/>
      <c r="J10" s="84"/>
      <c r="K10" s="75"/>
      <c r="L10" s="68"/>
      <c r="M10" s="68"/>
      <c r="N10" s="68"/>
      <c r="O10" s="70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</row>
    <row r="11">
      <c r="A11" s="75"/>
      <c r="B11" s="78" t="s">
        <v>67</v>
      </c>
      <c r="C11" s="78" t="s">
        <v>69</v>
      </c>
      <c r="D11" s="78" t="s">
        <v>66</v>
      </c>
      <c r="E11" s="79">
        <v>150.0</v>
      </c>
      <c r="F11" s="54"/>
      <c r="G11" s="80"/>
      <c r="H11" s="80"/>
      <c r="I11" s="80"/>
      <c r="J11" s="81"/>
      <c r="K11" s="75"/>
      <c r="L11" s="78"/>
      <c r="M11" s="78"/>
      <c r="N11" s="78"/>
      <c r="O11" s="79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</row>
    <row r="12">
      <c r="A12" s="53"/>
      <c r="B12" s="67" t="s">
        <v>70</v>
      </c>
      <c r="C12" s="68" t="s">
        <v>71</v>
      </c>
      <c r="D12" s="68" t="s">
        <v>72</v>
      </c>
      <c r="E12" s="70">
        <v>5000.0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</row>
    <row r="13">
      <c r="A13" s="53"/>
      <c r="B13" s="77" t="s">
        <v>73</v>
      </c>
      <c r="C13" s="78" t="s">
        <v>74</v>
      </c>
      <c r="D13" s="78" t="s">
        <v>75</v>
      </c>
      <c r="E13" s="79">
        <v>220.0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</row>
    <row r="14">
      <c r="A14" s="53"/>
      <c r="B14" s="93" t="s">
        <v>76</v>
      </c>
      <c r="C14" s="72" t="s">
        <v>77</v>
      </c>
      <c r="D14" s="78" t="s">
        <v>51</v>
      </c>
      <c r="E14" s="74">
        <v>2730.0</v>
      </c>
      <c r="F14" s="54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>
      <c r="A15" s="53"/>
      <c r="B15" s="78"/>
      <c r="C15" s="78"/>
      <c r="D15" s="78"/>
      <c r="E15" s="79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>
      <c r="A16" s="53"/>
      <c r="B16" s="68"/>
      <c r="C16" s="68"/>
      <c r="D16" s="68"/>
      <c r="E16" s="70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</row>
    <row r="17">
      <c r="A17" s="53"/>
      <c r="B17" s="91"/>
      <c r="C17" s="78"/>
      <c r="D17" s="78"/>
      <c r="E17" s="79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</row>
    <row r="18">
      <c r="A18" s="53"/>
      <c r="B18" s="68"/>
      <c r="C18" s="68"/>
      <c r="D18" s="68"/>
      <c r="E18" s="70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</row>
    <row r="19">
      <c r="A19" s="53"/>
      <c r="B19" s="78"/>
      <c r="C19" s="78"/>
      <c r="D19" s="78"/>
      <c r="E19" s="79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>
      <c r="A20" s="53"/>
      <c r="B20" s="53"/>
      <c r="C20" s="75"/>
      <c r="D20" s="75"/>
      <c r="E20" s="94"/>
      <c r="F20" s="54"/>
      <c r="G20" s="95" t="s">
        <v>78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</row>
    <row r="21">
      <c r="A21" s="53"/>
      <c r="B21" s="53"/>
      <c r="C21" s="75"/>
      <c r="D21" s="75"/>
      <c r="E21" s="9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</row>
    <row r="22">
      <c r="A22" s="53"/>
      <c r="B22" s="53"/>
      <c r="C22" s="75"/>
      <c r="D22" s="75"/>
      <c r="E22" s="9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</row>
    <row r="23">
      <c r="A23" s="53"/>
      <c r="B23" s="53"/>
      <c r="C23" s="75"/>
      <c r="D23" s="75"/>
      <c r="E23" s="9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</row>
    <row r="24">
      <c r="A24" s="54"/>
      <c r="B24" s="54"/>
      <c r="C24" s="57"/>
      <c r="D24" s="57"/>
      <c r="E24" s="96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</row>
    <row r="25">
      <c r="A25" s="55"/>
      <c r="B25" s="56" t="s">
        <v>79</v>
      </c>
      <c r="D25" s="57"/>
      <c r="E25" s="96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</row>
    <row r="26">
      <c r="A26" s="57"/>
      <c r="B26" s="67" t="s">
        <v>80</v>
      </c>
      <c r="C26" s="96">
        <f>SUM(O4:O11)-SUM(E4:E25)</f>
        <v>2105</v>
      </c>
      <c r="D26" s="57"/>
      <c r="E26" s="96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>
      <c r="A27" s="57"/>
      <c r="B27" s="91" t="s">
        <v>36</v>
      </c>
      <c r="C27" s="96">
        <f>SUM(J4:J11)</f>
        <v>0</v>
      </c>
      <c r="D27" s="57"/>
      <c r="E27" s="66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</row>
    <row r="28">
      <c r="A28" s="57"/>
      <c r="B28" s="67" t="s">
        <v>81</v>
      </c>
      <c r="C28" s="96">
        <f>SUM(J4:J11)-SUM(E4:E25)</f>
        <v>-67895</v>
      </c>
      <c r="D28" s="57"/>
      <c r="E28" s="66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</row>
    <row r="29">
      <c r="A29" s="54"/>
      <c r="B29" s="78" t="s">
        <v>82</v>
      </c>
      <c r="C29" s="97">
        <f>C26</f>
        <v>2105</v>
      </c>
      <c r="D29" s="57"/>
      <c r="E29" s="66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</row>
    <row r="30">
      <c r="A30" s="54"/>
      <c r="B30" s="67" t="s">
        <v>83</v>
      </c>
      <c r="C30" s="66">
        <f>SUM(E4:E25)-C31</f>
        <v>62535</v>
      </c>
      <c r="D30" s="57"/>
      <c r="E30" s="66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</row>
    <row r="31">
      <c r="A31" s="54"/>
      <c r="B31" s="78" t="s">
        <v>84</v>
      </c>
      <c r="C31" s="96">
        <f>SUM(E4,E7,E8,E12)</f>
        <v>5360</v>
      </c>
      <c r="D31" s="57"/>
      <c r="E31" s="66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</row>
    <row r="32">
      <c r="A32" s="54"/>
      <c r="B32" s="54"/>
      <c r="C32" s="57"/>
      <c r="D32" s="57"/>
      <c r="E32" s="66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</row>
    <row r="33">
      <c r="A33" s="54"/>
      <c r="B33" s="54"/>
      <c r="C33" s="57"/>
      <c r="D33" s="57"/>
      <c r="E33" s="66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>
      <c r="A34" s="54"/>
      <c r="B34" s="98"/>
      <c r="C34" s="99" t="s">
        <v>46</v>
      </c>
      <c r="D34" s="57"/>
      <c r="E34" s="66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>
      <c r="A35" s="54"/>
      <c r="B35" s="100"/>
      <c r="C35" s="99" t="s">
        <v>51</v>
      </c>
      <c r="D35" s="57"/>
      <c r="E35" s="66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>
      <c r="A36" s="54"/>
      <c r="B36" s="101"/>
      <c r="C36" s="99" t="s">
        <v>55</v>
      </c>
      <c r="D36" s="57"/>
      <c r="E36" s="66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>
      <c r="A37" s="54"/>
      <c r="B37" s="102"/>
      <c r="C37" s="99" t="s">
        <v>60</v>
      </c>
      <c r="D37" s="57"/>
      <c r="E37" s="66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</row>
    <row r="38">
      <c r="A38" s="54"/>
      <c r="B38" s="103"/>
      <c r="C38" s="99" t="s">
        <v>66</v>
      </c>
      <c r="D38" s="57"/>
      <c r="E38" s="66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</row>
    <row r="39">
      <c r="A39" s="54"/>
      <c r="B39" s="104"/>
      <c r="C39" s="99" t="s">
        <v>72</v>
      </c>
      <c r="D39" s="57"/>
      <c r="E39" s="66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>
      <c r="A40" s="54"/>
      <c r="B40" s="105"/>
      <c r="C40" s="99" t="s">
        <v>75</v>
      </c>
      <c r="D40" s="57"/>
      <c r="E40" s="66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>
      <c r="A41" s="54"/>
      <c r="B41" s="54"/>
      <c r="C41" s="57"/>
      <c r="D41" s="57"/>
      <c r="E41" s="66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</row>
    <row r="42">
      <c r="A42" s="54"/>
      <c r="B42" s="54"/>
      <c r="C42" s="57"/>
      <c r="D42" s="57"/>
      <c r="E42" s="66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</row>
    <row r="43">
      <c r="A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>
      <c r="A44" s="54"/>
      <c r="B44" s="54"/>
      <c r="C44" s="54"/>
      <c r="D44" s="54"/>
      <c r="E44" s="66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</row>
    <row r="45">
      <c r="A45" s="54"/>
      <c r="B45" s="54"/>
      <c r="C45" s="54"/>
      <c r="D45" s="54"/>
      <c r="E45" s="66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</row>
    <row r="46">
      <c r="A46" s="54"/>
      <c r="B46" s="54"/>
      <c r="C46" s="54"/>
      <c r="D46" s="54"/>
      <c r="E46" s="66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</row>
    <row r="47">
      <c r="A47" s="54"/>
      <c r="B47" s="54"/>
      <c r="C47" s="54"/>
      <c r="D47" s="54"/>
      <c r="E47" s="66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>
      <c r="A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</row>
    <row r="49">
      <c r="A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</row>
    <row r="50">
      <c r="A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>
      <c r="A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</row>
    <row r="52">
      <c r="A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</row>
    <row r="53">
      <c r="A53" s="54"/>
      <c r="B53" s="54"/>
      <c r="C53" s="54"/>
      <c r="D53" s="54"/>
      <c r="E53" s="66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</row>
    <row r="54">
      <c r="A54" s="54"/>
      <c r="B54" s="54"/>
      <c r="C54" s="54"/>
      <c r="D54" s="54"/>
      <c r="E54" s="66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</row>
    <row r="1004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</row>
    <row r="1005">
      <c r="A1005" s="54"/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</row>
    <row r="1006">
      <c r="A1006" s="54"/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</row>
    <row r="1007">
      <c r="A1007" s="54"/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</row>
    <row r="1008">
      <c r="A1008" s="54"/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</row>
    <row r="1009">
      <c r="A1009" s="54"/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</row>
    <row r="1010">
      <c r="A1010" s="54"/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</row>
    <row r="1011">
      <c r="A1011" s="54"/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</row>
  </sheetData>
  <mergeCells count="4">
    <mergeCell ref="B2:E2"/>
    <mergeCell ref="G2:J2"/>
    <mergeCell ref="L2:O2"/>
    <mergeCell ref="B25:C25"/>
  </mergeCells>
  <conditionalFormatting sqref="C26:C29">
    <cfRule type="cellIs" dxfId="0" priority="1" operator="greaterThan">
      <formula>0</formula>
    </cfRule>
  </conditionalFormatting>
  <conditionalFormatting sqref="C26:C29">
    <cfRule type="cellIs" dxfId="1" priority="2" operator="lessThan">
      <formula>0</formula>
    </cfRule>
  </conditionalFormatting>
  <conditionalFormatting sqref="D4:D19">
    <cfRule type="cellIs" dxfId="2" priority="3" operator="equal">
      <formula>"Workspace"</formula>
    </cfRule>
  </conditionalFormatting>
  <conditionalFormatting sqref="D4:D19">
    <cfRule type="cellIs" dxfId="3" priority="4" operator="equal">
      <formula>"HR"</formula>
    </cfRule>
  </conditionalFormatting>
  <conditionalFormatting sqref="D4:D19">
    <cfRule type="cellIs" dxfId="4" priority="5" operator="equal">
      <formula>"Travelling"</formula>
    </cfRule>
  </conditionalFormatting>
  <conditionalFormatting sqref="D4:D19">
    <cfRule type="cellIs" dxfId="5" priority="6" operator="equal">
      <formula>"Machinery"</formula>
    </cfRule>
  </conditionalFormatting>
  <conditionalFormatting sqref="D4:D19">
    <cfRule type="cellIs" dxfId="6" priority="7" operator="equal">
      <formula>"Materials"</formula>
    </cfRule>
  </conditionalFormatting>
  <conditionalFormatting sqref="D4:D19">
    <cfRule type="cellIs" dxfId="7" priority="8" operator="equal">
      <formula>"Marketing"</formula>
    </cfRule>
  </conditionalFormatting>
  <conditionalFormatting sqref="D4:D19">
    <cfRule type="cellIs" dxfId="8" priority="9" operator="equal">
      <formula>"Burocracy"</formula>
    </cfRule>
  </conditionalFormatting>
  <hyperlinks>
    <hyperlink r:id="rId1" ref="L4"/>
    <hyperlink r:id="rId2" ref="B5"/>
    <hyperlink r:id="rId3" ref="B7"/>
    <hyperlink r:id="rId4" ref="B8"/>
    <hyperlink r:id="rId5" ref="B13"/>
    <hyperlink r:id="rId6" ref="B14"/>
    <hyperlink r:id="rId7" ref="G20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41.25"/>
    <col customWidth="1" min="3" max="3" width="36.13"/>
    <col customWidth="1" min="8" max="8" width="21.63"/>
    <col customWidth="1" min="9" max="9" width="19.63"/>
    <col customWidth="1" min="11" max="11" width="14.25"/>
    <col customWidth="1" min="13" max="13" width="34.0"/>
    <col customWidth="1" min="16" max="16" width="13.0"/>
    <col customWidth="1" min="17" max="17" width="19.63"/>
    <col customWidth="1" min="18" max="18" width="9.0"/>
    <col customWidth="1" min="19" max="19" width="14.25"/>
    <col customWidth="1" min="20" max="20" width="15.13"/>
    <col customWidth="1" min="21" max="21" width="14.25"/>
    <col customWidth="1" min="22" max="22" width="14.38"/>
  </cols>
  <sheetData>
    <row r="1">
      <c r="A1" s="53"/>
      <c r="B1" s="53"/>
      <c r="C1" s="53"/>
      <c r="D1" s="53"/>
      <c r="E1" s="53"/>
      <c r="F1" s="54"/>
      <c r="G1" s="53"/>
      <c r="H1" s="53"/>
      <c r="I1" s="53"/>
      <c r="J1" s="53"/>
      <c r="K1" s="54"/>
      <c r="L1" s="53"/>
      <c r="M1" s="53"/>
      <c r="N1" s="53"/>
      <c r="O1" s="53"/>
      <c r="P1" s="53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>
      <c r="A2" s="55"/>
      <c r="B2" s="56" t="s">
        <v>35</v>
      </c>
      <c r="F2" s="57"/>
      <c r="G2" s="58" t="s">
        <v>36</v>
      </c>
      <c r="K2" s="59"/>
      <c r="L2" s="56" t="s">
        <v>33</v>
      </c>
      <c r="Q2" s="54"/>
      <c r="R2" s="54"/>
      <c r="S2" s="54"/>
      <c r="T2" s="54"/>
      <c r="U2" s="53" t="s">
        <v>37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>
      <c r="A3" s="60"/>
      <c r="B3" s="61" t="s">
        <v>38</v>
      </c>
      <c r="C3" s="61" t="s">
        <v>39</v>
      </c>
      <c r="D3" s="61" t="s">
        <v>40</v>
      </c>
      <c r="E3" s="61" t="s">
        <v>41</v>
      </c>
      <c r="F3" s="54"/>
      <c r="G3" s="62" t="s">
        <v>39</v>
      </c>
      <c r="H3" s="63" t="s">
        <v>42</v>
      </c>
      <c r="I3" s="63" t="s">
        <v>43</v>
      </c>
      <c r="J3" s="62" t="s">
        <v>41</v>
      </c>
      <c r="K3" s="60"/>
      <c r="L3" s="61" t="s">
        <v>38</v>
      </c>
      <c r="M3" s="61" t="s">
        <v>39</v>
      </c>
      <c r="N3" s="61" t="s">
        <v>40</v>
      </c>
      <c r="O3" s="61" t="s">
        <v>0</v>
      </c>
      <c r="P3" s="61" t="s">
        <v>41</v>
      </c>
      <c r="Q3" s="54"/>
      <c r="R3" s="54"/>
      <c r="S3" s="53" t="s">
        <v>44</v>
      </c>
      <c r="T3" s="64">
        <v>4.6E7</v>
      </c>
      <c r="U3" s="65">
        <v>0.05</v>
      </c>
      <c r="V3" s="66">
        <f>T3*U3</f>
        <v>2300000</v>
      </c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>
      <c r="A4" s="57"/>
      <c r="B4" s="67"/>
      <c r="C4" s="68" t="s">
        <v>85</v>
      </c>
      <c r="D4" s="69" t="s">
        <v>46</v>
      </c>
      <c r="E4" s="70">
        <v>12000.0</v>
      </c>
      <c r="F4" s="71" t="s">
        <v>86</v>
      </c>
      <c r="G4" s="72" t="s">
        <v>87</v>
      </c>
      <c r="H4" s="73">
        <v>65.0</v>
      </c>
      <c r="I4" s="72">
        <v>1800.0</v>
      </c>
      <c r="J4" s="74">
        <f>H4*I4</f>
        <v>117000</v>
      </c>
      <c r="K4" s="75"/>
      <c r="L4" s="76" t="s">
        <v>47</v>
      </c>
      <c r="M4" s="68" t="s">
        <v>48</v>
      </c>
      <c r="N4" s="68" t="s">
        <v>33</v>
      </c>
      <c r="O4" s="106">
        <v>1.0</v>
      </c>
      <c r="P4" s="70">
        <v>100000.0</v>
      </c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>
      <c r="A5" s="75"/>
      <c r="B5" s="77" t="s">
        <v>49</v>
      </c>
      <c r="C5" s="78" t="s">
        <v>50</v>
      </c>
      <c r="D5" s="78" t="s">
        <v>51</v>
      </c>
      <c r="E5" s="79">
        <v>70000.0</v>
      </c>
      <c r="F5" s="54"/>
      <c r="G5" s="80"/>
      <c r="H5" s="81"/>
      <c r="I5" s="80"/>
      <c r="J5" s="81"/>
      <c r="K5" s="75"/>
      <c r="L5" s="78"/>
      <c r="M5" s="78"/>
      <c r="N5" s="78"/>
      <c r="O5" s="107"/>
      <c r="P5" s="79"/>
      <c r="Q5" s="54"/>
      <c r="R5" s="54"/>
      <c r="S5" s="53" t="s">
        <v>53</v>
      </c>
      <c r="T5" s="65">
        <v>0.5</v>
      </c>
      <c r="U5" s="66">
        <f>V3*T5</f>
        <v>1150000</v>
      </c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</row>
    <row r="6">
      <c r="A6" s="82"/>
      <c r="B6" s="83"/>
      <c r="C6" s="72" t="s">
        <v>54</v>
      </c>
      <c r="D6" s="83" t="s">
        <v>55</v>
      </c>
      <c r="E6" s="74">
        <f>300*6*1.7</f>
        <v>3060</v>
      </c>
      <c r="F6" s="108" t="s">
        <v>88</v>
      </c>
      <c r="G6" s="86"/>
      <c r="H6" s="87"/>
      <c r="I6" s="86"/>
      <c r="J6" s="87"/>
      <c r="K6" s="82"/>
      <c r="L6" s="83"/>
      <c r="M6" s="83"/>
      <c r="N6" s="83"/>
      <c r="O6" s="109"/>
      <c r="P6" s="84"/>
      <c r="Q6" s="85"/>
      <c r="R6" s="85"/>
      <c r="S6" s="88" t="s">
        <v>56</v>
      </c>
      <c r="T6" s="88" t="s">
        <v>57</v>
      </c>
      <c r="U6" s="89">
        <v>300000.0</v>
      </c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</row>
    <row r="7">
      <c r="A7" s="110"/>
      <c r="B7" s="111" t="s">
        <v>89</v>
      </c>
      <c r="C7" s="78" t="s">
        <v>90</v>
      </c>
      <c r="D7" s="90" t="s">
        <v>60</v>
      </c>
      <c r="E7" s="79">
        <v>45000.0</v>
      </c>
      <c r="F7" s="112">
        <v>15000.0</v>
      </c>
      <c r="G7" s="80"/>
      <c r="H7" s="81"/>
      <c r="I7" s="80"/>
      <c r="J7" s="81"/>
      <c r="K7" s="75"/>
      <c r="L7" s="78"/>
      <c r="M7" s="78"/>
      <c r="N7" s="78"/>
      <c r="O7" s="107"/>
      <c r="P7" s="79"/>
      <c r="Q7" s="54"/>
      <c r="R7" s="54"/>
      <c r="S7" s="53" t="s">
        <v>61</v>
      </c>
      <c r="T7" s="53">
        <v>2.28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</row>
    <row r="8">
      <c r="A8" s="75"/>
      <c r="B8" s="67" t="s">
        <v>91</v>
      </c>
      <c r="C8" s="68" t="s">
        <v>92</v>
      </c>
      <c r="D8" s="68" t="s">
        <v>66</v>
      </c>
      <c r="E8" s="70">
        <v>3000.0</v>
      </c>
      <c r="F8" s="54"/>
      <c r="G8" s="86"/>
      <c r="H8" s="87"/>
      <c r="I8" s="86"/>
      <c r="J8" s="87"/>
      <c r="K8" s="75"/>
      <c r="L8" s="68"/>
      <c r="M8" s="68"/>
      <c r="N8" s="68"/>
      <c r="O8" s="106"/>
      <c r="P8" s="70"/>
      <c r="Q8" s="54"/>
      <c r="R8" s="54"/>
      <c r="S8" s="53" t="s">
        <v>64</v>
      </c>
      <c r="T8" s="66">
        <f>(U5+U6)*T7</f>
        <v>3306000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>
      <c r="A9" s="75"/>
      <c r="B9" s="78" t="s">
        <v>67</v>
      </c>
      <c r="C9" s="78" t="s">
        <v>93</v>
      </c>
      <c r="D9" s="78" t="s">
        <v>66</v>
      </c>
      <c r="E9" s="79">
        <v>57000.0</v>
      </c>
      <c r="F9" s="54"/>
      <c r="G9" s="80"/>
      <c r="H9" s="81"/>
      <c r="I9" s="80"/>
      <c r="J9" s="81"/>
      <c r="K9" s="75"/>
      <c r="L9" s="68"/>
      <c r="M9" s="68"/>
      <c r="N9" s="68"/>
      <c r="O9" s="68"/>
      <c r="P9" s="70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>
      <c r="A10" s="75"/>
      <c r="B10" s="83" t="s">
        <v>67</v>
      </c>
      <c r="C10" s="72" t="s">
        <v>94</v>
      </c>
      <c r="D10" s="83" t="s">
        <v>66</v>
      </c>
      <c r="E10" s="74">
        <v>1500.0</v>
      </c>
      <c r="F10" s="54"/>
      <c r="G10" s="83"/>
      <c r="H10" s="92"/>
      <c r="I10" s="83"/>
      <c r="J10" s="84"/>
      <c r="K10" s="75"/>
      <c r="L10" s="78"/>
      <c r="M10" s="78"/>
      <c r="N10" s="78"/>
      <c r="O10" s="78"/>
      <c r="P10" s="7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</row>
    <row r="11">
      <c r="A11" s="75"/>
      <c r="B11" s="111" t="s">
        <v>95</v>
      </c>
      <c r="C11" s="78" t="s">
        <v>96</v>
      </c>
      <c r="D11" s="78" t="s">
        <v>51</v>
      </c>
      <c r="E11" s="79">
        <v>20600.0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>
      <c r="A12" s="57"/>
      <c r="B12" s="76" t="s">
        <v>97</v>
      </c>
      <c r="C12" s="68" t="s">
        <v>98</v>
      </c>
      <c r="D12" s="68" t="s">
        <v>66</v>
      </c>
      <c r="E12" s="70">
        <v>6375.0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>
      <c r="A13" s="75"/>
      <c r="B13" s="78"/>
      <c r="C13" s="78" t="s">
        <v>99</v>
      </c>
      <c r="D13" s="78" t="s">
        <v>51</v>
      </c>
      <c r="E13" s="79">
        <v>15498.0</v>
      </c>
      <c r="F13" s="54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</row>
    <row r="14">
      <c r="A14" s="82"/>
      <c r="B14" s="83"/>
      <c r="C14" s="70" t="s">
        <v>100</v>
      </c>
      <c r="D14" s="68" t="s">
        <v>72</v>
      </c>
      <c r="E14" s="70">
        <f t="shared" ref="E14:E15" si="1">5000</f>
        <v>5000</v>
      </c>
      <c r="F14" s="54"/>
      <c r="G14" s="113" t="s">
        <v>101</v>
      </c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</row>
    <row r="15">
      <c r="A15" s="75"/>
      <c r="B15" s="78"/>
      <c r="C15" s="78" t="s">
        <v>102</v>
      </c>
      <c r="D15" s="68" t="s">
        <v>72</v>
      </c>
      <c r="E15" s="79">
        <f t="shared" si="1"/>
        <v>5000</v>
      </c>
      <c r="F15" s="54"/>
      <c r="G15" s="54"/>
      <c r="H15" s="75" t="s">
        <v>103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>
      <c r="A16" s="75"/>
      <c r="B16" s="68"/>
      <c r="C16" s="68" t="s">
        <v>104</v>
      </c>
      <c r="D16" s="90" t="s">
        <v>60</v>
      </c>
      <c r="E16" s="70">
        <v>750.0</v>
      </c>
      <c r="F16" s="54"/>
      <c r="G16" s="53"/>
      <c r="H16" s="53" t="s">
        <v>105</v>
      </c>
      <c r="I16" s="64">
        <v>2.0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  <row r="17">
      <c r="A17" s="57"/>
      <c r="B17" s="114" t="s">
        <v>76</v>
      </c>
      <c r="C17" s="115" t="s">
        <v>77</v>
      </c>
      <c r="D17" s="78" t="s">
        <v>51</v>
      </c>
      <c r="E17" s="116">
        <v>2730.0</v>
      </c>
      <c r="F17" s="54"/>
      <c r="G17" s="53"/>
      <c r="H17" s="53" t="s">
        <v>106</v>
      </c>
      <c r="I17" s="64">
        <v>38.0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</row>
    <row r="18">
      <c r="A18" s="75"/>
      <c r="B18" s="68"/>
      <c r="C18" s="68"/>
      <c r="D18" s="68"/>
      <c r="E18" s="70"/>
      <c r="F18" s="54"/>
      <c r="G18" s="53"/>
      <c r="H18" s="53" t="s">
        <v>107</v>
      </c>
      <c r="I18" s="64">
        <v>1.0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</row>
    <row r="19">
      <c r="A19" s="75"/>
      <c r="B19" s="78"/>
      <c r="C19" s="78"/>
      <c r="D19" s="78"/>
      <c r="E19" s="79"/>
      <c r="F19" s="54"/>
      <c r="G19" s="54"/>
      <c r="H19" s="53" t="s">
        <v>108</v>
      </c>
      <c r="I19" s="66">
        <f>SUM(I16:I18)</f>
        <v>41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>
      <c r="A20" s="75"/>
      <c r="B20" s="68"/>
      <c r="C20" s="68"/>
      <c r="D20" s="68"/>
      <c r="E20" s="70"/>
      <c r="F20" s="54"/>
      <c r="G20" s="54"/>
      <c r="H20" s="53"/>
      <c r="I20" s="54"/>
      <c r="J20" s="54"/>
      <c r="K20" s="54"/>
      <c r="L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</row>
    <row r="21">
      <c r="A21" s="75"/>
      <c r="B21" s="78"/>
      <c r="C21" s="78"/>
      <c r="D21" s="78"/>
      <c r="E21" s="79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>
      <c r="A22" s="53"/>
      <c r="B22" s="53"/>
      <c r="C22" s="75"/>
      <c r="D22" s="75"/>
      <c r="E22" s="9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</row>
    <row r="23">
      <c r="A23" s="53"/>
      <c r="B23" s="53"/>
      <c r="C23" s="75"/>
      <c r="D23" s="75"/>
      <c r="E23" s="94"/>
      <c r="F23" s="54"/>
      <c r="K23" s="54"/>
      <c r="L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</row>
    <row r="24">
      <c r="A24" s="54"/>
      <c r="B24" s="54"/>
      <c r="C24" s="57"/>
      <c r="D24" s="57"/>
      <c r="E24" s="96"/>
      <c r="F24" s="54"/>
      <c r="L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</row>
    <row r="25">
      <c r="A25" s="55"/>
      <c r="B25" s="56" t="s">
        <v>79</v>
      </c>
      <c r="D25" s="57"/>
      <c r="E25" s="96"/>
      <c r="F25" s="54"/>
      <c r="K25" s="54"/>
      <c r="L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</row>
    <row r="26">
      <c r="A26" s="57"/>
      <c r="B26" s="67" t="s">
        <v>80</v>
      </c>
      <c r="C26" s="96">
        <f>SUM(P4-P10)+SUM(J4:J10)-SUM(E4:E21)</f>
        <v>-30513</v>
      </c>
      <c r="D26" s="57"/>
      <c r="E26" s="96"/>
      <c r="F26" s="54"/>
      <c r="K26" s="54"/>
      <c r="L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</row>
    <row r="27">
      <c r="A27" s="57"/>
      <c r="B27" s="91" t="s">
        <v>36</v>
      </c>
      <c r="C27" s="96">
        <f>SUM(J4:J10)</f>
        <v>117000</v>
      </c>
      <c r="D27" s="57"/>
      <c r="E27" s="66"/>
      <c r="F27" s="54"/>
      <c r="G27" s="54"/>
      <c r="H27" s="54"/>
      <c r="I27" s="54"/>
      <c r="J27" s="54"/>
      <c r="K27" s="54"/>
      <c r="L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</row>
    <row r="28">
      <c r="A28" s="57"/>
      <c r="B28" s="67" t="s">
        <v>81</v>
      </c>
      <c r="C28" s="96">
        <f>SUM(J4:J10)-SUM(E4:E21)</f>
        <v>-130513</v>
      </c>
      <c r="D28" s="57"/>
      <c r="E28" s="66"/>
      <c r="F28" s="54"/>
      <c r="G28" s="54"/>
      <c r="H28" s="54"/>
      <c r="I28" s="54"/>
      <c r="J28" s="54"/>
      <c r="K28" s="54"/>
      <c r="L28" s="54"/>
      <c r="M28" s="117" t="s">
        <v>109</v>
      </c>
      <c r="N28" s="118">
        <f>0.08*I4*25</f>
        <v>3600</v>
      </c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</row>
    <row r="29">
      <c r="A29" s="54"/>
      <c r="B29" s="78" t="s">
        <v>82</v>
      </c>
      <c r="C29" s="96">
        <f>'Year 1'!C29+C26</f>
        <v>-28408</v>
      </c>
      <c r="D29" s="57"/>
      <c r="E29" s="66"/>
      <c r="F29" s="54"/>
      <c r="G29" s="54"/>
      <c r="H29" s="54"/>
      <c r="I29" s="54"/>
      <c r="J29" s="54"/>
      <c r="K29" s="54"/>
      <c r="L29" s="54"/>
      <c r="M29" s="119" t="s">
        <v>110</v>
      </c>
      <c r="N29" s="120">
        <f>5*I4*(5+2.5)</f>
        <v>67500</v>
      </c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</row>
    <row r="30">
      <c r="A30" s="54"/>
      <c r="B30" s="67" t="s">
        <v>83</v>
      </c>
      <c r="C30" s="66">
        <f>SUM(E4:E25)-C31</f>
        <v>190513</v>
      </c>
      <c r="D30" s="57"/>
      <c r="E30" s="66"/>
      <c r="F30" s="54"/>
      <c r="G30" s="54"/>
      <c r="H30" s="54"/>
      <c r="I30" s="54"/>
      <c r="J30" s="54"/>
      <c r="K30" s="54"/>
      <c r="L30" s="54"/>
      <c r="M30" s="121" t="s">
        <v>111</v>
      </c>
      <c r="N30" s="120">
        <f>I4</f>
        <v>1800</v>
      </c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</row>
    <row r="31">
      <c r="A31" s="54"/>
      <c r="B31" s="78" t="s">
        <v>84</v>
      </c>
      <c r="C31" s="96">
        <f>SUM(E4,E7)</f>
        <v>57000</v>
      </c>
      <c r="D31" s="57"/>
      <c r="E31" s="66"/>
      <c r="F31" s="54"/>
      <c r="G31" s="54"/>
      <c r="H31" s="54"/>
      <c r="I31" s="54"/>
      <c r="J31" s="54"/>
      <c r="K31" s="54"/>
      <c r="L31" s="54"/>
      <c r="M31" s="122" t="s">
        <v>112</v>
      </c>
      <c r="N31" s="123">
        <f>SUM(N28:N30)/I4</f>
        <v>40.5</v>
      </c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</row>
    <row r="32">
      <c r="A32" s="54"/>
      <c r="B32" s="54"/>
      <c r="C32" s="57"/>
      <c r="D32" s="57"/>
      <c r="E32" s="66"/>
      <c r="F32" s="54"/>
      <c r="G32" s="54"/>
      <c r="H32" s="54"/>
      <c r="I32" s="54"/>
      <c r="J32" s="54"/>
      <c r="K32" s="54"/>
      <c r="L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</row>
    <row r="33">
      <c r="A33" s="54"/>
      <c r="B33" s="54"/>
      <c r="C33" s="57"/>
      <c r="D33" s="57"/>
      <c r="E33" s="66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</row>
    <row r="34">
      <c r="A34" s="54"/>
      <c r="B34" s="98"/>
      <c r="C34" s="99" t="s">
        <v>46</v>
      </c>
      <c r="D34" s="57"/>
      <c r="E34" s="66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</row>
    <row r="35">
      <c r="A35" s="54"/>
      <c r="B35" s="100"/>
      <c r="C35" s="99" t="s">
        <v>51</v>
      </c>
      <c r="D35" s="57"/>
      <c r="E35" s="66"/>
      <c r="F35" s="54"/>
      <c r="G35" s="54"/>
      <c r="P35" s="1" t="s">
        <v>0</v>
      </c>
      <c r="Q35" s="124">
        <v>1.0</v>
      </c>
      <c r="R35" s="125"/>
      <c r="S35" s="2">
        <v>2.0</v>
      </c>
      <c r="T35" s="2">
        <v>3.0</v>
      </c>
      <c r="U35" s="2">
        <v>4.0</v>
      </c>
      <c r="V35" s="3">
        <v>5.0</v>
      </c>
      <c r="W35" s="54"/>
      <c r="X35" s="54"/>
      <c r="Y35" s="54"/>
      <c r="Z35" s="54"/>
      <c r="AA35" s="54"/>
      <c r="AB35" s="54"/>
      <c r="AC35" s="54"/>
      <c r="AD35" s="54"/>
      <c r="AE35" s="54"/>
      <c r="AF35" s="54"/>
    </row>
    <row r="36">
      <c r="A36" s="54"/>
      <c r="B36" s="101"/>
      <c r="C36" s="99" t="s">
        <v>55</v>
      </c>
      <c r="D36" s="57"/>
      <c r="E36" s="66"/>
      <c r="F36" s="54"/>
      <c r="G36" s="54"/>
      <c r="O36" s="54"/>
      <c r="P36" s="126" t="s">
        <v>113</v>
      </c>
      <c r="Q36" s="127" t="s">
        <v>114</v>
      </c>
      <c r="R36" s="128">
        <v>175.0</v>
      </c>
      <c r="S36" s="129" t="s">
        <v>115</v>
      </c>
      <c r="T36" s="129" t="s">
        <v>115</v>
      </c>
      <c r="U36" s="129" t="s">
        <v>116</v>
      </c>
      <c r="V36" s="130" t="s">
        <v>116</v>
      </c>
      <c r="W36" s="54"/>
      <c r="X36" s="54"/>
      <c r="Y36" s="54"/>
      <c r="Z36" s="54"/>
      <c r="AA36" s="54"/>
      <c r="AB36" s="54"/>
      <c r="AC36" s="54"/>
      <c r="AD36" s="54"/>
      <c r="AE36" s="54"/>
      <c r="AF36" s="54"/>
    </row>
    <row r="37">
      <c r="A37" s="54"/>
      <c r="B37" s="102"/>
      <c r="C37" s="99" t="s">
        <v>60</v>
      </c>
      <c r="D37" s="57"/>
      <c r="E37" s="66"/>
      <c r="F37" s="54"/>
      <c r="G37" s="54"/>
      <c r="O37" s="54"/>
      <c r="P37" s="131"/>
      <c r="Q37" s="127" t="s">
        <v>117</v>
      </c>
      <c r="R37" s="128">
        <v>9000.0</v>
      </c>
      <c r="S37" s="132"/>
      <c r="T37" s="132"/>
      <c r="U37" s="132"/>
      <c r="V37" s="133"/>
      <c r="W37" s="54"/>
      <c r="X37" s="54"/>
      <c r="Y37" s="54"/>
      <c r="Z37" s="54"/>
      <c r="AA37" s="54"/>
      <c r="AB37" s="54"/>
      <c r="AC37" s="54"/>
      <c r="AD37" s="54"/>
      <c r="AE37" s="54"/>
      <c r="AF37" s="54"/>
    </row>
    <row r="38">
      <c r="A38" s="54"/>
      <c r="B38" s="103"/>
      <c r="C38" s="99" t="s">
        <v>66</v>
      </c>
      <c r="D38" s="57"/>
      <c r="E38" s="66"/>
      <c r="F38" s="54"/>
      <c r="G38" s="54"/>
      <c r="O38" s="54"/>
      <c r="P38" s="134"/>
      <c r="Q38" s="135" t="s">
        <v>79</v>
      </c>
      <c r="R38" s="136">
        <v>10000.0</v>
      </c>
      <c r="S38" s="136">
        <v>45000.0</v>
      </c>
      <c r="T38" s="136">
        <v>45000.0</v>
      </c>
      <c r="U38" s="136">
        <v>60000.0</v>
      </c>
      <c r="V38" s="137">
        <v>60000.0</v>
      </c>
      <c r="W38" s="54"/>
      <c r="X38" s="54"/>
      <c r="Y38" s="54"/>
      <c r="Z38" s="54"/>
      <c r="AA38" s="54"/>
      <c r="AB38" s="54"/>
      <c r="AC38" s="54"/>
      <c r="AD38" s="54"/>
      <c r="AE38" s="54"/>
      <c r="AF38" s="54"/>
    </row>
    <row r="39">
      <c r="A39" s="54"/>
      <c r="B39" s="104"/>
      <c r="C39" s="99" t="s">
        <v>72</v>
      </c>
      <c r="D39" s="57"/>
      <c r="E39" s="66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</row>
    <row r="40">
      <c r="A40" s="54"/>
      <c r="B40" s="138"/>
      <c r="C40" s="99" t="s">
        <v>75</v>
      </c>
      <c r="D40" s="57"/>
      <c r="E40" s="66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</row>
    <row r="41">
      <c r="A41" s="54"/>
      <c r="B41" s="54"/>
      <c r="C41" s="57"/>
      <c r="D41" s="57"/>
      <c r="E41" s="66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</row>
    <row r="42">
      <c r="A42" s="54"/>
      <c r="B42" s="54"/>
      <c r="C42" s="57"/>
      <c r="D42" s="57"/>
      <c r="E42" s="66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>
      <c r="A43" s="54"/>
      <c r="B43" s="54"/>
      <c r="C43" s="57"/>
      <c r="D43" s="57"/>
      <c r="E43" s="66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>
      <c r="A44" s="54"/>
      <c r="B44" s="54"/>
      <c r="C44" s="54"/>
      <c r="D44" s="54"/>
      <c r="E44" s="66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>
      <c r="A45" s="54"/>
      <c r="B45" s="54"/>
      <c r="C45" s="54"/>
      <c r="D45" s="54"/>
      <c r="E45" s="66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>
      <c r="A46" s="54"/>
      <c r="B46" s="54"/>
      <c r="C46" s="54"/>
      <c r="D46" s="54"/>
      <c r="E46" s="66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>
      <c r="A47" s="54"/>
      <c r="B47" s="54"/>
      <c r="C47" s="54"/>
      <c r="D47" s="54"/>
      <c r="E47" s="66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>
      <c r="A48" s="54"/>
      <c r="B48" s="54"/>
      <c r="C48" s="54"/>
      <c r="D48" s="54"/>
      <c r="E48" s="66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>
      <c r="A49" s="54"/>
      <c r="B49" s="54"/>
      <c r="C49" s="54"/>
      <c r="D49" s="54"/>
      <c r="E49" s="66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>
      <c r="A50" s="54"/>
      <c r="B50" s="54"/>
      <c r="C50" s="54"/>
      <c r="D50" s="54"/>
      <c r="E50" s="66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>
      <c r="A51" s="54"/>
      <c r="B51" s="54"/>
      <c r="C51" s="54"/>
      <c r="D51" s="54"/>
      <c r="E51" s="66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>
      <c r="A52" s="54"/>
      <c r="B52" s="54"/>
      <c r="C52" s="54"/>
      <c r="D52" s="54"/>
      <c r="E52" s="66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>
      <c r="A53" s="54"/>
      <c r="B53" s="54"/>
      <c r="C53" s="54"/>
      <c r="D53" s="54"/>
      <c r="E53" s="66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>
      <c r="A54" s="54"/>
      <c r="B54" s="54"/>
      <c r="C54" s="54"/>
      <c r="D54" s="54"/>
      <c r="E54" s="66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</row>
    <row r="1004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</row>
    <row r="1005">
      <c r="A1005" s="54"/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</row>
    <row r="1006">
      <c r="A1006" s="54"/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</row>
    <row r="1007">
      <c r="A1007" s="54"/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</row>
    <row r="1008">
      <c r="A1008" s="54"/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</row>
    <row r="1009">
      <c r="A1009" s="54"/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</row>
    <row r="1010">
      <c r="A1010" s="54"/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</row>
    <row r="1011">
      <c r="A1011" s="54"/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</row>
  </sheetData>
  <mergeCells count="11">
    <mergeCell ref="S36:S37"/>
    <mergeCell ref="T36:T37"/>
    <mergeCell ref="U36:U37"/>
    <mergeCell ref="V36:V37"/>
    <mergeCell ref="B2:E2"/>
    <mergeCell ref="G2:J2"/>
    <mergeCell ref="L2:P2"/>
    <mergeCell ref="H15:I15"/>
    <mergeCell ref="B25:C25"/>
    <mergeCell ref="Q35:R35"/>
    <mergeCell ref="P36:P38"/>
  </mergeCells>
  <conditionalFormatting sqref="D4 D7 D14:D17">
    <cfRule type="cellIs" dxfId="8" priority="1" operator="equal">
      <formula>"Burocracy"</formula>
    </cfRule>
  </conditionalFormatting>
  <conditionalFormatting sqref="C26:C29">
    <cfRule type="cellIs" dxfId="0" priority="2" operator="greaterThan">
      <formula>0</formula>
    </cfRule>
  </conditionalFormatting>
  <conditionalFormatting sqref="C26:C29">
    <cfRule type="cellIs" dxfId="1" priority="3" operator="lessThan">
      <formula>0</formula>
    </cfRule>
  </conditionalFormatting>
  <conditionalFormatting sqref="D4:D21">
    <cfRule type="cellIs" dxfId="2" priority="4" operator="equal">
      <formula>"Workspace"</formula>
    </cfRule>
  </conditionalFormatting>
  <conditionalFormatting sqref="D4:D21">
    <cfRule type="cellIs" dxfId="3" priority="5" operator="equal">
      <formula>"HR"</formula>
    </cfRule>
  </conditionalFormatting>
  <conditionalFormatting sqref="D4:D21">
    <cfRule type="cellIs" dxfId="4" priority="6" operator="equal">
      <formula>"Travelling"</formula>
    </cfRule>
  </conditionalFormatting>
  <conditionalFormatting sqref="D4:D21">
    <cfRule type="cellIs" dxfId="5" priority="7" operator="equal">
      <formula>"Machinery"</formula>
    </cfRule>
  </conditionalFormatting>
  <conditionalFormatting sqref="D4:D21">
    <cfRule type="cellIs" dxfId="6" priority="8" operator="equal">
      <formula>"Materials"</formula>
    </cfRule>
  </conditionalFormatting>
  <conditionalFormatting sqref="D4:D21">
    <cfRule type="cellIs" dxfId="7" priority="9" operator="equal">
      <formula>"Marketing"</formula>
    </cfRule>
  </conditionalFormatting>
  <hyperlinks>
    <hyperlink r:id="rId1" ref="L4"/>
    <hyperlink r:id="rId2" ref="B5"/>
    <hyperlink r:id="rId3" ref="B12"/>
    <hyperlink r:id="rId4" ref="G14"/>
    <hyperlink r:id="rId5" ref="B1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0.5"/>
    <col customWidth="1" min="3" max="3" width="36.13"/>
    <col customWidth="1" min="8" max="8" width="21.63"/>
    <col customWidth="1" min="13" max="13" width="22.25"/>
    <col customWidth="1" min="20" max="20" width="16.63"/>
  </cols>
  <sheetData>
    <row r="1">
      <c r="A1" s="53"/>
      <c r="B1" s="53"/>
      <c r="C1" s="53"/>
      <c r="D1" s="53"/>
      <c r="E1" s="53"/>
      <c r="F1" s="54"/>
      <c r="G1" s="53"/>
      <c r="H1" s="53"/>
      <c r="I1" s="53"/>
      <c r="J1" s="53"/>
      <c r="K1" s="54"/>
      <c r="L1" s="53"/>
      <c r="M1" s="53"/>
      <c r="N1" s="53"/>
      <c r="O1" s="53"/>
      <c r="P1" s="53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>
      <c r="A2" s="55"/>
      <c r="B2" s="56" t="s">
        <v>35</v>
      </c>
      <c r="F2" s="57"/>
      <c r="G2" s="58" t="s">
        <v>36</v>
      </c>
      <c r="K2" s="59"/>
      <c r="L2" s="56" t="s">
        <v>33</v>
      </c>
      <c r="Q2" s="54"/>
      <c r="R2" s="54"/>
      <c r="S2" s="54"/>
      <c r="T2" s="54"/>
      <c r="U2" s="53" t="s">
        <v>37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>
      <c r="A3" s="60"/>
      <c r="B3" s="61" t="s">
        <v>38</v>
      </c>
      <c r="C3" s="61" t="s">
        <v>39</v>
      </c>
      <c r="D3" s="61" t="s">
        <v>40</v>
      </c>
      <c r="E3" s="61" t="s">
        <v>41</v>
      </c>
      <c r="F3" s="54"/>
      <c r="G3" s="62" t="s">
        <v>39</v>
      </c>
      <c r="H3" s="63" t="s">
        <v>42</v>
      </c>
      <c r="I3" s="63" t="s">
        <v>43</v>
      </c>
      <c r="J3" s="62" t="s">
        <v>41</v>
      </c>
      <c r="K3" s="60"/>
      <c r="L3" s="61" t="s">
        <v>38</v>
      </c>
      <c r="M3" s="61" t="s">
        <v>39</v>
      </c>
      <c r="N3" s="61" t="s">
        <v>40</v>
      </c>
      <c r="O3" s="61" t="s">
        <v>0</v>
      </c>
      <c r="P3" s="61" t="s">
        <v>41</v>
      </c>
      <c r="Q3" s="54"/>
      <c r="R3" s="54"/>
      <c r="S3" s="53" t="s">
        <v>44</v>
      </c>
      <c r="T3" s="64">
        <v>4.6E7</v>
      </c>
      <c r="U3" s="65">
        <v>0.05</v>
      </c>
      <c r="V3" s="66">
        <f>T3*U3</f>
        <v>2300000</v>
      </c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>
      <c r="A4" s="57"/>
      <c r="B4" s="67"/>
      <c r="C4" s="68" t="s">
        <v>118</v>
      </c>
      <c r="D4" s="69" t="s">
        <v>46</v>
      </c>
      <c r="E4" s="70">
        <f>1400*12</f>
        <v>16800</v>
      </c>
      <c r="F4" s="71"/>
      <c r="G4" s="139" t="s">
        <v>87</v>
      </c>
      <c r="H4" s="140">
        <v>65.0</v>
      </c>
      <c r="I4" s="115">
        <v>2000.0</v>
      </c>
      <c r="J4" s="141">
        <f t="shared" ref="J4:J10" si="1">H4*I4</f>
        <v>130000</v>
      </c>
      <c r="K4" s="75"/>
      <c r="L4" s="76" t="s">
        <v>47</v>
      </c>
      <c r="M4" s="68" t="s">
        <v>48</v>
      </c>
      <c r="N4" s="68" t="s">
        <v>33</v>
      </c>
      <c r="O4" s="106">
        <v>1.0</v>
      </c>
      <c r="P4" s="70">
        <v>150000.0</v>
      </c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>
      <c r="A5" s="75"/>
      <c r="B5" s="77" t="s">
        <v>49</v>
      </c>
      <c r="C5" s="78" t="s">
        <v>119</v>
      </c>
      <c r="D5" s="78" t="s">
        <v>51</v>
      </c>
      <c r="E5" s="79">
        <v>172200.0</v>
      </c>
      <c r="F5" s="54"/>
      <c r="G5" s="72" t="s">
        <v>120</v>
      </c>
      <c r="H5" s="73">
        <v>70.0</v>
      </c>
      <c r="I5" s="72">
        <v>1000.0</v>
      </c>
      <c r="J5" s="74">
        <f t="shared" si="1"/>
        <v>70000</v>
      </c>
      <c r="K5" s="75"/>
      <c r="L5" s="78"/>
      <c r="M5" s="78"/>
      <c r="N5" s="78"/>
      <c r="O5" s="107"/>
      <c r="P5" s="79"/>
      <c r="Q5" s="54"/>
      <c r="R5" s="54"/>
      <c r="S5" s="53" t="s">
        <v>53</v>
      </c>
      <c r="T5" s="65">
        <v>0.5</v>
      </c>
      <c r="U5" s="66">
        <f>V3*T5</f>
        <v>1150000</v>
      </c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</row>
    <row r="6">
      <c r="A6" s="82"/>
      <c r="B6" s="83"/>
      <c r="C6" s="72" t="s">
        <v>121</v>
      </c>
      <c r="D6" s="83" t="s">
        <v>55</v>
      </c>
      <c r="E6" s="84">
        <f>200*6*1.7</f>
        <v>2040</v>
      </c>
      <c r="F6" s="108" t="s">
        <v>88</v>
      </c>
      <c r="G6" s="139" t="s">
        <v>122</v>
      </c>
      <c r="H6" s="142">
        <v>70.0</v>
      </c>
      <c r="I6" s="139">
        <v>600.0</v>
      </c>
      <c r="J6" s="141">
        <f t="shared" si="1"/>
        <v>42000</v>
      </c>
      <c r="K6" s="82"/>
      <c r="L6" s="83"/>
      <c r="M6" s="83"/>
      <c r="N6" s="83"/>
      <c r="O6" s="109"/>
      <c r="P6" s="84"/>
      <c r="Q6" s="85"/>
      <c r="R6" s="85"/>
      <c r="S6" s="88" t="s">
        <v>56</v>
      </c>
      <c r="T6" s="88" t="s">
        <v>57</v>
      </c>
      <c r="U6" s="89">
        <v>300000.0</v>
      </c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</row>
    <row r="7">
      <c r="A7" s="110"/>
      <c r="B7" s="111" t="s">
        <v>123</v>
      </c>
      <c r="C7" s="78" t="s">
        <v>90</v>
      </c>
      <c r="D7" s="90" t="s">
        <v>60</v>
      </c>
      <c r="E7" s="79">
        <v>45000.0</v>
      </c>
      <c r="F7" s="112">
        <v>-15000.0</v>
      </c>
      <c r="G7" s="72"/>
      <c r="H7" s="73"/>
      <c r="I7" s="72"/>
      <c r="J7" s="74">
        <f t="shared" si="1"/>
        <v>0</v>
      </c>
      <c r="K7" s="75"/>
      <c r="L7" s="78"/>
      <c r="M7" s="78"/>
      <c r="N7" s="78"/>
      <c r="O7" s="107"/>
      <c r="P7" s="79"/>
      <c r="Q7" s="54"/>
      <c r="R7" s="54"/>
      <c r="S7" s="53" t="s">
        <v>61</v>
      </c>
      <c r="T7" s="53">
        <v>2.28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</row>
    <row r="8">
      <c r="A8" s="75"/>
      <c r="B8" s="67" t="s">
        <v>91</v>
      </c>
      <c r="C8" s="68" t="s">
        <v>124</v>
      </c>
      <c r="D8" s="68" t="s">
        <v>66</v>
      </c>
      <c r="E8" s="70">
        <v>10000.0</v>
      </c>
      <c r="F8" s="54"/>
      <c r="G8" s="80"/>
      <c r="H8" s="81"/>
      <c r="I8" s="80"/>
      <c r="J8" s="141">
        <f t="shared" si="1"/>
        <v>0</v>
      </c>
      <c r="K8" s="75"/>
      <c r="L8" s="68"/>
      <c r="M8" s="68"/>
      <c r="N8" s="68"/>
      <c r="O8" s="106"/>
      <c r="P8" s="70"/>
      <c r="Q8" s="54"/>
      <c r="R8" s="54"/>
      <c r="S8" s="53" t="s">
        <v>64</v>
      </c>
      <c r="T8" s="66">
        <f>(U5+U6)*T7</f>
        <v>3306000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>
      <c r="A9" s="75"/>
      <c r="B9" s="78" t="s">
        <v>67</v>
      </c>
      <c r="C9" s="78" t="s">
        <v>125</v>
      </c>
      <c r="D9" s="78" t="s">
        <v>66</v>
      </c>
      <c r="E9" s="79">
        <v>165000.0</v>
      </c>
      <c r="F9" s="54"/>
      <c r="G9" s="72"/>
      <c r="H9" s="73"/>
      <c r="I9" s="72"/>
      <c r="J9" s="74">
        <f t="shared" si="1"/>
        <v>0</v>
      </c>
      <c r="K9" s="75"/>
      <c r="L9" s="68"/>
      <c r="M9" s="68"/>
      <c r="N9" s="68"/>
      <c r="O9" s="68"/>
      <c r="P9" s="70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>
      <c r="A10" s="75"/>
      <c r="B10" s="83" t="s">
        <v>67</v>
      </c>
      <c r="C10" s="72" t="s">
        <v>126</v>
      </c>
      <c r="D10" s="83" t="s">
        <v>66</v>
      </c>
      <c r="E10" s="74">
        <v>5000.0</v>
      </c>
      <c r="F10" s="54"/>
      <c r="G10" s="80"/>
      <c r="H10" s="81"/>
      <c r="I10" s="80"/>
      <c r="J10" s="141">
        <f t="shared" si="1"/>
        <v>0</v>
      </c>
      <c r="K10" s="75"/>
      <c r="L10" s="78"/>
      <c r="M10" s="78"/>
      <c r="N10" s="78"/>
      <c r="O10" s="78"/>
      <c r="P10" s="7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</row>
    <row r="11">
      <c r="A11" s="75"/>
      <c r="B11" s="111" t="s">
        <v>127</v>
      </c>
      <c r="C11" s="78" t="s">
        <v>128</v>
      </c>
      <c r="D11" s="78" t="s">
        <v>66</v>
      </c>
      <c r="E11" s="79">
        <v>17500.0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>
      <c r="A12" s="57"/>
      <c r="B12" s="76"/>
      <c r="C12" s="68" t="s">
        <v>129</v>
      </c>
      <c r="D12" s="68" t="s">
        <v>51</v>
      </c>
      <c r="E12" s="70">
        <v>14000.0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>
      <c r="A13" s="75"/>
      <c r="B13" s="143"/>
      <c r="C13" s="78" t="s">
        <v>130</v>
      </c>
      <c r="D13" s="78" t="s">
        <v>51</v>
      </c>
      <c r="E13" s="79">
        <v>3600.0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</row>
    <row r="14">
      <c r="A14" s="82"/>
      <c r="B14" s="72"/>
      <c r="C14" s="72" t="s">
        <v>131</v>
      </c>
      <c r="D14" s="72" t="s">
        <v>51</v>
      </c>
      <c r="E14" s="74">
        <v>30996.0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</row>
    <row r="15">
      <c r="A15" s="75"/>
      <c r="B15" s="78"/>
      <c r="C15" s="78" t="s">
        <v>132</v>
      </c>
      <c r="D15" s="78" t="s">
        <v>51</v>
      </c>
      <c r="E15" s="79">
        <v>27500.0</v>
      </c>
      <c r="F15" s="54"/>
      <c r="G15" s="54"/>
      <c r="H15" s="75" t="s">
        <v>103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>
      <c r="A16" s="75"/>
      <c r="B16" s="68"/>
      <c r="C16" s="68" t="s">
        <v>133</v>
      </c>
      <c r="D16" s="68" t="s">
        <v>51</v>
      </c>
      <c r="E16" s="70">
        <v>18924.0</v>
      </c>
      <c r="F16" s="54"/>
      <c r="G16" s="54"/>
      <c r="H16" s="53" t="s">
        <v>105</v>
      </c>
      <c r="I16" s="64">
        <v>2.0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  <row r="17">
      <c r="A17" s="57"/>
      <c r="B17" s="91"/>
      <c r="C17" s="78" t="s">
        <v>134</v>
      </c>
      <c r="D17" s="68" t="s">
        <v>72</v>
      </c>
      <c r="E17" s="79">
        <f t="shared" ref="E17:E18" si="2">20000</f>
        <v>20000</v>
      </c>
      <c r="F17" s="54"/>
      <c r="G17" s="54"/>
      <c r="H17" s="53" t="s">
        <v>106</v>
      </c>
      <c r="I17" s="64">
        <v>33.0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</row>
    <row r="18">
      <c r="A18" s="75"/>
      <c r="B18" s="68"/>
      <c r="C18" s="68" t="s">
        <v>102</v>
      </c>
      <c r="D18" s="68" t="s">
        <v>72</v>
      </c>
      <c r="E18" s="70">
        <f t="shared" si="2"/>
        <v>20000</v>
      </c>
      <c r="F18" s="54"/>
      <c r="G18" s="54"/>
      <c r="H18" s="53" t="s">
        <v>107</v>
      </c>
      <c r="I18" s="64">
        <v>1.0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</row>
    <row r="19">
      <c r="A19" s="75"/>
      <c r="B19" s="78"/>
      <c r="C19" s="78" t="s">
        <v>135</v>
      </c>
      <c r="D19" s="90" t="s">
        <v>60</v>
      </c>
      <c r="E19" s="79">
        <v>1000.0</v>
      </c>
      <c r="F19" s="54"/>
      <c r="G19" s="54"/>
      <c r="H19" s="53" t="s">
        <v>108</v>
      </c>
      <c r="I19" s="66">
        <f>SUM(I16:I18)</f>
        <v>36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>
      <c r="A20" s="75"/>
      <c r="B20" s="93" t="s">
        <v>76</v>
      </c>
      <c r="C20" s="72" t="s">
        <v>77</v>
      </c>
      <c r="D20" s="78" t="s">
        <v>51</v>
      </c>
      <c r="E20" s="74">
        <v>2730.0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</row>
    <row r="21">
      <c r="A21" s="75"/>
      <c r="B21" s="78"/>
      <c r="C21" s="78"/>
      <c r="D21" s="78"/>
      <c r="E21" s="79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>
      <c r="A22" s="53"/>
      <c r="B22" s="53"/>
      <c r="C22" s="75"/>
      <c r="D22" s="75"/>
      <c r="E22" s="9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</row>
    <row r="23">
      <c r="A23" s="53"/>
      <c r="B23" s="53"/>
      <c r="C23" s="75"/>
      <c r="D23" s="75"/>
      <c r="E23" s="9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</row>
    <row r="24">
      <c r="A24" s="54"/>
      <c r="B24" s="54"/>
      <c r="C24" s="57"/>
      <c r="D24" s="57"/>
      <c r="E24" s="96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</row>
    <row r="25">
      <c r="A25" s="55"/>
      <c r="B25" s="56" t="s">
        <v>79</v>
      </c>
      <c r="D25" s="57"/>
      <c r="E25" s="96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</row>
    <row r="26">
      <c r="A26" s="57"/>
      <c r="B26" s="67" t="s">
        <v>80</v>
      </c>
      <c r="C26" s="96">
        <f>SUM(P4-P10)+SUM(J4:J10)-SUM(E4:E21)</f>
        <v>-180290</v>
      </c>
      <c r="D26" s="57"/>
      <c r="E26" s="96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</row>
    <row r="27">
      <c r="A27" s="57"/>
      <c r="B27" s="91" t="s">
        <v>36</v>
      </c>
      <c r="C27" s="96">
        <f>SUM(J4:J10)</f>
        <v>242000</v>
      </c>
      <c r="D27" s="57"/>
      <c r="E27" s="66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</row>
    <row r="28">
      <c r="A28" s="57"/>
      <c r="B28" s="67" t="s">
        <v>81</v>
      </c>
      <c r="C28" s="96">
        <f>SUM(J4:J10)-SUM(E4:E21)</f>
        <v>-330290</v>
      </c>
      <c r="D28" s="57"/>
      <c r="E28" s="66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</row>
    <row r="29">
      <c r="A29" s="54"/>
      <c r="B29" s="78" t="s">
        <v>82</v>
      </c>
      <c r="C29" s="96">
        <f>'Year 1'!C29+C26</f>
        <v>-178185</v>
      </c>
      <c r="D29" s="57"/>
      <c r="E29" s="66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</row>
    <row r="30">
      <c r="A30" s="54"/>
      <c r="B30" s="67" t="s">
        <v>83</v>
      </c>
      <c r="C30" s="66">
        <f>SUM(E4:E25)-C31</f>
        <v>510490</v>
      </c>
      <c r="D30" s="57"/>
      <c r="E30" s="66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</row>
    <row r="31">
      <c r="A31" s="54"/>
      <c r="B31" s="78" t="s">
        <v>84</v>
      </c>
      <c r="C31" s="96">
        <f>SUM(E4,E7)</f>
        <v>61800</v>
      </c>
      <c r="D31" s="57"/>
      <c r="E31" s="66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</row>
    <row r="32">
      <c r="A32" s="54"/>
      <c r="B32" s="54"/>
      <c r="C32" s="57"/>
      <c r="D32" s="57"/>
      <c r="E32" s="66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</row>
    <row r="33">
      <c r="A33" s="54"/>
      <c r="B33" s="54"/>
      <c r="C33" s="57"/>
      <c r="D33" s="57"/>
      <c r="E33" s="66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</row>
    <row r="34">
      <c r="A34" s="54"/>
      <c r="B34" s="98"/>
      <c r="C34" s="99" t="s">
        <v>46</v>
      </c>
      <c r="D34" s="57"/>
      <c r="E34" s="66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</row>
    <row r="35">
      <c r="A35" s="54"/>
      <c r="B35" s="100"/>
      <c r="C35" s="99" t="s">
        <v>51</v>
      </c>
      <c r="D35" s="57"/>
      <c r="E35" s="66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</row>
    <row r="36">
      <c r="A36" s="54"/>
      <c r="B36" s="101"/>
      <c r="C36" s="99" t="s">
        <v>55</v>
      </c>
      <c r="D36" s="57"/>
      <c r="E36" s="66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</row>
    <row r="37">
      <c r="A37" s="54"/>
      <c r="B37" s="102"/>
      <c r="C37" s="99" t="s">
        <v>60</v>
      </c>
      <c r="D37" s="57"/>
      <c r="E37" s="66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</row>
    <row r="38">
      <c r="A38" s="54"/>
      <c r="B38" s="103"/>
      <c r="C38" s="99" t="s">
        <v>66</v>
      </c>
      <c r="D38" s="57"/>
      <c r="E38" s="66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</row>
    <row r="39">
      <c r="A39" s="54"/>
      <c r="B39" s="104"/>
      <c r="C39" s="99" t="s">
        <v>72</v>
      </c>
      <c r="D39" s="57"/>
      <c r="E39" s="66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</row>
    <row r="40">
      <c r="A40" s="54"/>
      <c r="B40" s="138"/>
      <c r="C40" s="99" t="s">
        <v>75</v>
      </c>
      <c r="D40" s="57"/>
      <c r="E40" s="66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</row>
    <row r="41">
      <c r="A41" s="54"/>
      <c r="B41" s="54"/>
      <c r="C41" s="57"/>
      <c r="D41" s="57"/>
      <c r="E41" s="66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</row>
    <row r="42">
      <c r="A42" s="54"/>
      <c r="B42" s="54"/>
      <c r="C42" s="57"/>
      <c r="D42" s="57"/>
      <c r="E42" s="66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>
      <c r="A43" s="54"/>
      <c r="B43" s="54"/>
      <c r="C43" s="57"/>
      <c r="D43" s="57"/>
      <c r="E43" s="66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>
      <c r="A44" s="54"/>
      <c r="B44" s="54"/>
      <c r="C44" s="54"/>
      <c r="D44" s="54"/>
      <c r="E44" s="66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>
      <c r="A45" s="54"/>
      <c r="B45" s="54"/>
      <c r="C45" s="54"/>
      <c r="D45" s="54"/>
      <c r="E45" s="66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>
      <c r="A46" s="54"/>
      <c r="B46" s="54"/>
      <c r="C46" s="54"/>
      <c r="D46" s="54"/>
      <c r="E46" s="66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>
      <c r="A47" s="54"/>
      <c r="B47" s="54"/>
      <c r="C47" s="54"/>
      <c r="D47" s="54"/>
      <c r="E47" s="66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>
      <c r="A48" s="54"/>
      <c r="B48" s="54"/>
      <c r="C48" s="54"/>
      <c r="D48" s="54"/>
      <c r="E48" s="66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>
      <c r="A49" s="54"/>
      <c r="B49" s="54"/>
      <c r="C49" s="54"/>
      <c r="D49" s="54"/>
      <c r="E49" s="66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>
      <c r="A50" s="54"/>
      <c r="B50" s="54"/>
      <c r="C50" s="54"/>
      <c r="D50" s="54"/>
      <c r="E50" s="66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>
      <c r="A51" s="54"/>
      <c r="B51" s="54"/>
      <c r="C51" s="54"/>
      <c r="D51" s="54"/>
      <c r="E51" s="66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>
      <c r="A52" s="54"/>
      <c r="B52" s="54"/>
      <c r="C52" s="54"/>
      <c r="D52" s="54"/>
      <c r="E52" s="66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>
      <c r="A53" s="54"/>
      <c r="B53" s="54"/>
      <c r="C53" s="54"/>
      <c r="D53" s="54"/>
      <c r="E53" s="66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>
      <c r="A54" s="54"/>
      <c r="B54" s="54"/>
      <c r="C54" s="54"/>
      <c r="D54" s="54"/>
      <c r="E54" s="66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</row>
    <row r="1004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</row>
    <row r="1005">
      <c r="A1005" s="54"/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</row>
    <row r="1006">
      <c r="A1006" s="54"/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</row>
    <row r="1007">
      <c r="A1007" s="54"/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</row>
    <row r="1008">
      <c r="A1008" s="54"/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</row>
    <row r="1009">
      <c r="A1009" s="54"/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</row>
    <row r="1010">
      <c r="A1010" s="54"/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</row>
    <row r="1011">
      <c r="A1011" s="54"/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</row>
  </sheetData>
  <mergeCells count="5">
    <mergeCell ref="B2:E2"/>
    <mergeCell ref="G2:J2"/>
    <mergeCell ref="L2:P2"/>
    <mergeCell ref="H15:I15"/>
    <mergeCell ref="B25:C25"/>
  </mergeCells>
  <conditionalFormatting sqref="D4 D7 D17:D20">
    <cfRule type="cellIs" dxfId="8" priority="1" operator="equal">
      <formula>"Burocracy"</formula>
    </cfRule>
  </conditionalFormatting>
  <conditionalFormatting sqref="C26:C29">
    <cfRule type="cellIs" dxfId="0" priority="2" operator="greaterThan">
      <formula>0</formula>
    </cfRule>
  </conditionalFormatting>
  <conditionalFormatting sqref="C26:C29">
    <cfRule type="cellIs" dxfId="1" priority="3" operator="lessThan">
      <formula>0</formula>
    </cfRule>
  </conditionalFormatting>
  <conditionalFormatting sqref="D4:D21">
    <cfRule type="cellIs" dxfId="2" priority="4" operator="equal">
      <formula>"Workspace"</formula>
    </cfRule>
  </conditionalFormatting>
  <conditionalFormatting sqref="D4:D21">
    <cfRule type="cellIs" dxfId="3" priority="5" operator="equal">
      <formula>"HR"</formula>
    </cfRule>
  </conditionalFormatting>
  <conditionalFormatting sqref="D4:D21">
    <cfRule type="cellIs" dxfId="4" priority="6" operator="equal">
      <formula>"Travelling"</formula>
    </cfRule>
  </conditionalFormatting>
  <conditionalFormatting sqref="D4:D21">
    <cfRule type="cellIs" dxfId="5" priority="7" operator="equal">
      <formula>"Machinery"</formula>
    </cfRule>
  </conditionalFormatting>
  <conditionalFormatting sqref="D4:D21">
    <cfRule type="cellIs" dxfId="6" priority="8" operator="equal">
      <formula>"Materials"</formula>
    </cfRule>
  </conditionalFormatting>
  <conditionalFormatting sqref="D4:D21">
    <cfRule type="cellIs" dxfId="7" priority="9" operator="equal">
      <formula>"Marketing"</formula>
    </cfRule>
  </conditionalFormatting>
  <hyperlinks>
    <hyperlink r:id="rId1" ref="L4"/>
    <hyperlink r:id="rId2" ref="B5"/>
    <hyperlink r:id="rId3" ref="B12"/>
    <hyperlink r:id="rId4" ref="B20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0.5"/>
    <col customWidth="1" min="3" max="3" width="36.13"/>
    <col customWidth="1" min="8" max="8" width="21.63"/>
    <col customWidth="1" min="13" max="13" width="22.25"/>
    <col customWidth="1" min="20" max="20" width="16.63"/>
  </cols>
  <sheetData>
    <row r="1">
      <c r="A1" s="53"/>
      <c r="B1" s="53"/>
      <c r="C1" s="53"/>
      <c r="D1" s="53"/>
      <c r="E1" s="53"/>
      <c r="F1" s="54"/>
      <c r="G1" s="53"/>
      <c r="H1" s="53"/>
      <c r="I1" s="53"/>
      <c r="J1" s="53"/>
      <c r="K1" s="54"/>
      <c r="L1" s="53"/>
      <c r="M1" s="53"/>
      <c r="N1" s="53"/>
      <c r="O1" s="53"/>
      <c r="P1" s="53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>
      <c r="A2" s="55"/>
      <c r="B2" s="56" t="s">
        <v>35</v>
      </c>
      <c r="F2" s="57"/>
      <c r="G2" s="58" t="s">
        <v>36</v>
      </c>
      <c r="K2" s="59"/>
      <c r="L2" s="56" t="s">
        <v>33</v>
      </c>
      <c r="Q2" s="54"/>
      <c r="R2" s="54"/>
      <c r="S2" s="54"/>
      <c r="T2" s="54"/>
      <c r="U2" s="53" t="s">
        <v>37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>
      <c r="A3" s="60"/>
      <c r="B3" s="61" t="s">
        <v>38</v>
      </c>
      <c r="C3" s="61" t="s">
        <v>39</v>
      </c>
      <c r="D3" s="61" t="s">
        <v>40</v>
      </c>
      <c r="E3" s="61" t="s">
        <v>41</v>
      </c>
      <c r="F3" s="54"/>
      <c r="G3" s="62" t="s">
        <v>39</v>
      </c>
      <c r="H3" s="63" t="s">
        <v>42</v>
      </c>
      <c r="I3" s="63" t="s">
        <v>43</v>
      </c>
      <c r="J3" s="62" t="s">
        <v>41</v>
      </c>
      <c r="K3" s="60"/>
      <c r="L3" s="61" t="s">
        <v>38</v>
      </c>
      <c r="M3" s="61" t="s">
        <v>39</v>
      </c>
      <c r="N3" s="61" t="s">
        <v>40</v>
      </c>
      <c r="O3" s="61" t="s">
        <v>0</v>
      </c>
      <c r="P3" s="61" t="s">
        <v>41</v>
      </c>
      <c r="Q3" s="54"/>
      <c r="R3" s="54"/>
      <c r="S3" s="53" t="s">
        <v>44</v>
      </c>
      <c r="T3" s="64">
        <v>4.6E7</v>
      </c>
      <c r="U3" s="65">
        <v>0.05</v>
      </c>
      <c r="V3" s="66">
        <f>T3*U3</f>
        <v>2300000</v>
      </c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>
      <c r="A4" s="57"/>
      <c r="B4" s="67"/>
      <c r="C4" s="68" t="s">
        <v>118</v>
      </c>
      <c r="D4" s="69" t="s">
        <v>46</v>
      </c>
      <c r="E4" s="70">
        <f>1400*12</f>
        <v>16800</v>
      </c>
      <c r="F4" s="71"/>
      <c r="G4" s="144" t="s">
        <v>87</v>
      </c>
      <c r="H4" s="73">
        <v>65.0</v>
      </c>
      <c r="I4" s="72">
        <v>3000.0</v>
      </c>
      <c r="J4" s="74">
        <f t="shared" ref="J4:J10" si="1">H4*I4</f>
        <v>195000</v>
      </c>
      <c r="K4" s="75"/>
      <c r="L4" s="68"/>
      <c r="M4" s="68"/>
      <c r="N4" s="68"/>
      <c r="O4" s="106"/>
      <c r="P4" s="70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>
      <c r="A5" s="75"/>
      <c r="B5" s="77" t="s">
        <v>49</v>
      </c>
      <c r="C5" s="78" t="s">
        <v>136</v>
      </c>
      <c r="D5" s="78" t="s">
        <v>51</v>
      </c>
      <c r="E5" s="79">
        <v>172200.0</v>
      </c>
      <c r="F5" s="54"/>
      <c r="G5" s="115" t="s">
        <v>120</v>
      </c>
      <c r="H5" s="142">
        <v>70.0</v>
      </c>
      <c r="I5" s="115">
        <v>1500.0</v>
      </c>
      <c r="J5" s="74">
        <f t="shared" si="1"/>
        <v>105000</v>
      </c>
      <c r="K5" s="75"/>
      <c r="L5" s="78"/>
      <c r="M5" s="78"/>
      <c r="N5" s="78"/>
      <c r="O5" s="107"/>
      <c r="P5" s="79"/>
      <c r="Q5" s="54"/>
      <c r="R5" s="54"/>
      <c r="S5" s="53" t="s">
        <v>53</v>
      </c>
      <c r="T5" s="65">
        <v>0.5</v>
      </c>
      <c r="U5" s="66">
        <f>V3*T5</f>
        <v>1150000</v>
      </c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</row>
    <row r="6">
      <c r="A6" s="82"/>
      <c r="B6" s="83"/>
      <c r="C6" s="72" t="s">
        <v>121</v>
      </c>
      <c r="D6" s="83" t="s">
        <v>55</v>
      </c>
      <c r="E6" s="84">
        <f>200*6*1.7</f>
        <v>2040</v>
      </c>
      <c r="F6" s="108" t="s">
        <v>88</v>
      </c>
      <c r="G6" s="72" t="s">
        <v>122</v>
      </c>
      <c r="H6" s="73">
        <v>70.0</v>
      </c>
      <c r="I6" s="72">
        <v>1500.0</v>
      </c>
      <c r="J6" s="74">
        <f t="shared" si="1"/>
        <v>105000</v>
      </c>
      <c r="K6" s="82"/>
      <c r="L6" s="83"/>
      <c r="M6" s="83"/>
      <c r="N6" s="83"/>
      <c r="O6" s="109"/>
      <c r="P6" s="84"/>
      <c r="Q6" s="85"/>
      <c r="R6" s="85"/>
      <c r="S6" s="88" t="s">
        <v>56</v>
      </c>
      <c r="T6" s="88" t="s">
        <v>57</v>
      </c>
      <c r="U6" s="89">
        <v>300000.0</v>
      </c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</row>
    <row r="7">
      <c r="A7" s="110"/>
      <c r="B7" s="111" t="s">
        <v>137</v>
      </c>
      <c r="C7" s="78" t="s">
        <v>90</v>
      </c>
      <c r="D7" s="90" t="s">
        <v>60</v>
      </c>
      <c r="E7" s="79">
        <v>60000.0</v>
      </c>
      <c r="F7" s="112">
        <v>20000.0</v>
      </c>
      <c r="G7" s="115" t="s">
        <v>138</v>
      </c>
      <c r="H7" s="142">
        <v>70.0</v>
      </c>
      <c r="I7" s="115">
        <v>700.0</v>
      </c>
      <c r="J7" s="74">
        <f t="shared" si="1"/>
        <v>49000</v>
      </c>
      <c r="K7" s="75"/>
      <c r="L7" s="78"/>
      <c r="M7" s="78"/>
      <c r="N7" s="78"/>
      <c r="O7" s="107"/>
      <c r="P7" s="79"/>
      <c r="Q7" s="54"/>
      <c r="R7" s="54"/>
      <c r="S7" s="53" t="s">
        <v>61</v>
      </c>
      <c r="T7" s="53">
        <v>2.28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</row>
    <row r="8">
      <c r="A8" s="75"/>
      <c r="B8" s="67" t="s">
        <v>91</v>
      </c>
      <c r="C8" s="68" t="s">
        <v>139</v>
      </c>
      <c r="D8" s="68" t="s">
        <v>66</v>
      </c>
      <c r="E8" s="70">
        <v>24000.0</v>
      </c>
      <c r="F8" s="54"/>
      <c r="G8" s="72" t="s">
        <v>140</v>
      </c>
      <c r="H8" s="73">
        <v>60.0</v>
      </c>
      <c r="I8" s="72">
        <v>700.0</v>
      </c>
      <c r="J8" s="74">
        <f t="shared" si="1"/>
        <v>42000</v>
      </c>
      <c r="K8" s="75"/>
      <c r="L8" s="68"/>
      <c r="M8" s="68"/>
      <c r="N8" s="68"/>
      <c r="O8" s="106"/>
      <c r="P8" s="70"/>
      <c r="Q8" s="54"/>
      <c r="R8" s="54"/>
      <c r="S8" s="53" t="s">
        <v>64</v>
      </c>
      <c r="T8" s="66">
        <f>(U5+U6)*T7</f>
        <v>3306000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>
      <c r="A9" s="75"/>
      <c r="B9" s="78" t="s">
        <v>67</v>
      </c>
      <c r="C9" s="78" t="s">
        <v>141</v>
      </c>
      <c r="D9" s="78" t="s">
        <v>66</v>
      </c>
      <c r="E9" s="79">
        <v>396000.0</v>
      </c>
      <c r="F9" s="54"/>
      <c r="G9" s="115" t="s">
        <v>142</v>
      </c>
      <c r="H9" s="142">
        <v>65.0</v>
      </c>
      <c r="I9" s="115">
        <v>1500.0</v>
      </c>
      <c r="J9" s="74">
        <f t="shared" si="1"/>
        <v>97500</v>
      </c>
      <c r="K9" s="75"/>
      <c r="L9" s="68"/>
      <c r="M9" s="68"/>
      <c r="N9" s="68"/>
      <c r="O9" s="68"/>
      <c r="P9" s="70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>
      <c r="A10" s="75"/>
      <c r="B10" s="83" t="s">
        <v>67</v>
      </c>
      <c r="C10" s="72" t="s">
        <v>143</v>
      </c>
      <c r="D10" s="83" t="s">
        <v>66</v>
      </c>
      <c r="E10" s="74">
        <v>12000.0</v>
      </c>
      <c r="F10" s="54"/>
      <c r="G10" s="72" t="s">
        <v>144</v>
      </c>
      <c r="H10" s="73">
        <v>65.0</v>
      </c>
      <c r="I10" s="72">
        <v>1000.0</v>
      </c>
      <c r="J10" s="74">
        <f t="shared" si="1"/>
        <v>65000</v>
      </c>
      <c r="K10" s="75"/>
      <c r="L10" s="78"/>
      <c r="M10" s="78"/>
      <c r="N10" s="78"/>
      <c r="O10" s="78"/>
      <c r="P10" s="7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</row>
    <row r="11">
      <c r="A11" s="75"/>
      <c r="B11" s="111" t="s">
        <v>127</v>
      </c>
      <c r="C11" s="78" t="s">
        <v>145</v>
      </c>
      <c r="D11" s="78" t="s">
        <v>66</v>
      </c>
      <c r="E11" s="79">
        <v>42000.0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>
      <c r="A12" s="57"/>
      <c r="B12" s="76"/>
      <c r="C12" s="68" t="s">
        <v>129</v>
      </c>
      <c r="D12" s="68" t="s">
        <v>51</v>
      </c>
      <c r="E12" s="70">
        <v>14000.0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>
      <c r="A13" s="75"/>
      <c r="B13" s="143"/>
      <c r="C13" s="78" t="s">
        <v>146</v>
      </c>
      <c r="D13" s="78" t="s">
        <v>51</v>
      </c>
      <c r="E13" s="79">
        <v>3600.0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</row>
    <row r="14">
      <c r="A14" s="82"/>
      <c r="B14" s="72"/>
      <c r="C14" s="72" t="s">
        <v>147</v>
      </c>
      <c r="D14" s="72" t="s">
        <v>51</v>
      </c>
      <c r="E14" s="74">
        <v>34400.0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</row>
    <row r="15">
      <c r="A15" s="75"/>
      <c r="B15" s="78"/>
      <c r="C15" s="78" t="s">
        <v>132</v>
      </c>
      <c r="D15" s="78" t="s">
        <v>51</v>
      </c>
      <c r="E15" s="79">
        <v>27552.0</v>
      </c>
      <c r="F15" s="54"/>
      <c r="G15" s="54"/>
      <c r="H15" s="75" t="s">
        <v>103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>
      <c r="A16" s="75"/>
      <c r="B16" s="68"/>
      <c r="C16" s="68" t="s">
        <v>148</v>
      </c>
      <c r="D16" s="68" t="s">
        <v>51</v>
      </c>
      <c r="E16" s="70">
        <v>22386.0</v>
      </c>
      <c r="F16" s="54"/>
      <c r="G16" s="54"/>
      <c r="H16" s="53" t="s">
        <v>105</v>
      </c>
      <c r="I16" s="64">
        <v>2.0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  <row r="17">
      <c r="A17" s="57"/>
      <c r="B17" s="91"/>
      <c r="C17" s="78" t="s">
        <v>149</v>
      </c>
      <c r="D17" s="78" t="s">
        <v>51</v>
      </c>
      <c r="E17" s="79">
        <v>17220.0</v>
      </c>
      <c r="F17" s="54"/>
      <c r="G17" s="54"/>
      <c r="H17" s="53" t="s">
        <v>106</v>
      </c>
      <c r="I17" s="64">
        <v>33.0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</row>
    <row r="18">
      <c r="A18" s="75"/>
      <c r="B18" s="68"/>
      <c r="C18" s="68" t="s">
        <v>134</v>
      </c>
      <c r="D18" s="68" t="s">
        <v>72</v>
      </c>
      <c r="E18" s="70">
        <f t="shared" ref="E18:E19" si="2">20000</f>
        <v>20000</v>
      </c>
      <c r="F18" s="54"/>
      <c r="G18" s="54"/>
      <c r="H18" s="53" t="s">
        <v>107</v>
      </c>
      <c r="I18" s="64">
        <v>1.0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</row>
    <row r="19">
      <c r="A19" s="75"/>
      <c r="B19" s="78"/>
      <c r="C19" s="78" t="s">
        <v>102</v>
      </c>
      <c r="D19" s="68" t="s">
        <v>72</v>
      </c>
      <c r="E19" s="79">
        <f t="shared" si="2"/>
        <v>20000</v>
      </c>
      <c r="F19" s="54"/>
      <c r="G19" s="54"/>
      <c r="H19" s="53" t="s">
        <v>108</v>
      </c>
      <c r="I19" s="66">
        <f>SUM(I16:I18)</f>
        <v>36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>
      <c r="A20" s="75"/>
      <c r="B20" s="93" t="s">
        <v>76</v>
      </c>
      <c r="C20" s="72" t="s">
        <v>77</v>
      </c>
      <c r="D20" s="78" t="s">
        <v>51</v>
      </c>
      <c r="E20" s="74">
        <v>2730.0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</row>
    <row r="21">
      <c r="A21" s="75"/>
      <c r="B21" s="78"/>
      <c r="C21" s="78"/>
      <c r="D21" s="78"/>
      <c r="E21" s="79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>
      <c r="A22" s="53"/>
      <c r="B22" s="53"/>
      <c r="C22" s="75"/>
      <c r="D22" s="75"/>
      <c r="E22" s="9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</row>
    <row r="23">
      <c r="A23" s="53"/>
      <c r="B23" s="53"/>
      <c r="C23" s="75"/>
      <c r="D23" s="75"/>
      <c r="E23" s="9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</row>
    <row r="24">
      <c r="A24" s="54"/>
      <c r="B24" s="54"/>
      <c r="C24" s="57"/>
      <c r="D24" s="57"/>
      <c r="E24" s="96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</row>
    <row r="25">
      <c r="A25" s="55"/>
      <c r="B25" s="56" t="s">
        <v>79</v>
      </c>
      <c r="D25" s="57"/>
      <c r="E25" s="96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</row>
    <row r="26">
      <c r="A26" s="57"/>
      <c r="B26" s="67" t="s">
        <v>80</v>
      </c>
      <c r="C26" s="96">
        <f>SUM(P4-P10)+SUM(J4:J10)-SUM(E4:E21)</f>
        <v>-228428</v>
      </c>
      <c r="D26" s="57"/>
      <c r="E26" s="96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</row>
    <row r="27">
      <c r="A27" s="57"/>
      <c r="B27" s="91" t="s">
        <v>36</v>
      </c>
      <c r="C27" s="96">
        <f>SUM(J4:J10)</f>
        <v>658500</v>
      </c>
      <c r="D27" s="57"/>
      <c r="E27" s="66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</row>
    <row r="28">
      <c r="A28" s="57"/>
      <c r="B28" s="67" t="s">
        <v>81</v>
      </c>
      <c r="C28" s="96">
        <f>SUM(J4:J10)-SUM(E4:E21)</f>
        <v>-228428</v>
      </c>
      <c r="D28" s="57"/>
      <c r="E28" s="66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</row>
    <row r="29">
      <c r="A29" s="54"/>
      <c r="B29" s="78" t="s">
        <v>82</v>
      </c>
      <c r="C29" s="96">
        <f>'Year 1'!C29+C26</f>
        <v>-226323</v>
      </c>
      <c r="D29" s="57"/>
      <c r="E29" s="66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</row>
    <row r="30">
      <c r="A30" s="54"/>
      <c r="B30" s="67" t="s">
        <v>83</v>
      </c>
      <c r="C30" s="66">
        <f>SUM(E4:E25)-C31</f>
        <v>810128</v>
      </c>
      <c r="D30" s="57"/>
      <c r="E30" s="66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</row>
    <row r="31">
      <c r="A31" s="54"/>
      <c r="B31" s="78" t="s">
        <v>84</v>
      </c>
      <c r="C31" s="96">
        <f>SUM(E4,E7)</f>
        <v>76800</v>
      </c>
      <c r="D31" s="57"/>
      <c r="E31" s="66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</row>
    <row r="32">
      <c r="A32" s="54"/>
      <c r="B32" s="54"/>
      <c r="C32" s="57"/>
      <c r="D32" s="57"/>
      <c r="E32" s="66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</row>
    <row r="33">
      <c r="A33" s="54"/>
      <c r="B33" s="54"/>
      <c r="C33" s="57"/>
      <c r="D33" s="57"/>
      <c r="E33" s="66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</row>
    <row r="34">
      <c r="A34" s="54"/>
      <c r="B34" s="98"/>
      <c r="C34" s="99" t="s">
        <v>46</v>
      </c>
      <c r="D34" s="57"/>
      <c r="E34" s="66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</row>
    <row r="35">
      <c r="A35" s="54"/>
      <c r="B35" s="100"/>
      <c r="C35" s="99" t="s">
        <v>51</v>
      </c>
      <c r="D35" s="57"/>
      <c r="E35" s="66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</row>
    <row r="36">
      <c r="A36" s="54"/>
      <c r="B36" s="101"/>
      <c r="C36" s="99" t="s">
        <v>55</v>
      </c>
      <c r="D36" s="57"/>
      <c r="E36" s="66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</row>
    <row r="37">
      <c r="A37" s="54"/>
      <c r="B37" s="102"/>
      <c r="C37" s="99" t="s">
        <v>60</v>
      </c>
      <c r="D37" s="57"/>
      <c r="E37" s="66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</row>
    <row r="38">
      <c r="A38" s="54"/>
      <c r="B38" s="103"/>
      <c r="C38" s="99" t="s">
        <v>66</v>
      </c>
      <c r="D38" s="57"/>
      <c r="E38" s="66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</row>
    <row r="39">
      <c r="A39" s="54"/>
      <c r="B39" s="104"/>
      <c r="C39" s="99" t="s">
        <v>72</v>
      </c>
      <c r="D39" s="57"/>
      <c r="E39" s="66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</row>
    <row r="40">
      <c r="A40" s="54"/>
      <c r="B40" s="138"/>
      <c r="C40" s="99" t="s">
        <v>75</v>
      </c>
      <c r="D40" s="57"/>
      <c r="E40" s="66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</row>
    <row r="41">
      <c r="A41" s="54"/>
      <c r="B41" s="54"/>
      <c r="C41" s="57"/>
      <c r="D41" s="57"/>
      <c r="E41" s="66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</row>
    <row r="42">
      <c r="A42" s="54"/>
      <c r="B42" s="54"/>
      <c r="C42" s="57"/>
      <c r="D42" s="57"/>
      <c r="E42" s="66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>
      <c r="A43" s="54"/>
      <c r="B43" s="54"/>
      <c r="C43" s="57"/>
      <c r="D43" s="57"/>
      <c r="E43" s="66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>
      <c r="A44" s="54"/>
      <c r="B44" s="54"/>
      <c r="C44" s="54"/>
      <c r="D44" s="54"/>
      <c r="E44" s="66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>
      <c r="A45" s="54"/>
      <c r="B45" s="54"/>
      <c r="C45" s="54"/>
      <c r="D45" s="54"/>
      <c r="E45" s="66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>
      <c r="A46" s="54"/>
      <c r="B46" s="54"/>
      <c r="C46" s="54"/>
      <c r="D46" s="54"/>
      <c r="E46" s="66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>
      <c r="A47" s="54"/>
      <c r="B47" s="54"/>
      <c r="C47" s="54"/>
      <c r="D47" s="54"/>
      <c r="E47" s="66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>
      <c r="A48" s="54"/>
      <c r="B48" s="54"/>
      <c r="C48" s="54"/>
      <c r="D48" s="54"/>
      <c r="E48" s="66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>
      <c r="A49" s="54"/>
      <c r="B49" s="54"/>
      <c r="C49" s="54"/>
      <c r="D49" s="54"/>
      <c r="E49" s="66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>
      <c r="A50" s="54"/>
      <c r="B50" s="54"/>
      <c r="C50" s="54"/>
      <c r="D50" s="54"/>
      <c r="E50" s="66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>
      <c r="A51" s="54"/>
      <c r="B51" s="54"/>
      <c r="C51" s="54"/>
      <c r="D51" s="54"/>
      <c r="E51" s="66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>
      <c r="A52" s="54"/>
      <c r="B52" s="54"/>
      <c r="C52" s="54"/>
      <c r="D52" s="54"/>
      <c r="E52" s="66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>
      <c r="A53" s="54"/>
      <c r="B53" s="54"/>
      <c r="C53" s="54"/>
      <c r="D53" s="54"/>
      <c r="E53" s="66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>
      <c r="A54" s="54"/>
      <c r="B54" s="54"/>
      <c r="C54" s="54"/>
      <c r="D54" s="54"/>
      <c r="E54" s="66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</row>
    <row r="1004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</row>
    <row r="1005">
      <c r="A1005" s="54"/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</row>
    <row r="1006">
      <c r="A1006" s="54"/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</row>
    <row r="1007">
      <c r="A1007" s="54"/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</row>
    <row r="1008">
      <c r="A1008" s="54"/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</row>
    <row r="1009">
      <c r="A1009" s="54"/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</row>
    <row r="1010">
      <c r="A1010" s="54"/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</row>
    <row r="1011">
      <c r="A1011" s="54"/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</row>
  </sheetData>
  <mergeCells count="5">
    <mergeCell ref="B2:E2"/>
    <mergeCell ref="G2:J2"/>
    <mergeCell ref="L2:P2"/>
    <mergeCell ref="H15:I15"/>
    <mergeCell ref="B25:C25"/>
  </mergeCells>
  <conditionalFormatting sqref="D4 D7 D18:D20">
    <cfRule type="cellIs" dxfId="8" priority="1" operator="equal">
      <formula>"Burocracy"</formula>
    </cfRule>
  </conditionalFormatting>
  <conditionalFormatting sqref="C26:C29">
    <cfRule type="cellIs" dxfId="0" priority="2" operator="greaterThan">
      <formula>0</formula>
    </cfRule>
  </conditionalFormatting>
  <conditionalFormatting sqref="C26:C29">
    <cfRule type="cellIs" dxfId="1" priority="3" operator="lessThan">
      <formula>0</formula>
    </cfRule>
  </conditionalFormatting>
  <conditionalFormatting sqref="D4:D21">
    <cfRule type="cellIs" dxfId="2" priority="4" operator="equal">
      <formula>"Workspace"</formula>
    </cfRule>
  </conditionalFormatting>
  <conditionalFormatting sqref="D4:D21">
    <cfRule type="cellIs" dxfId="3" priority="5" operator="equal">
      <formula>"HR"</formula>
    </cfRule>
  </conditionalFormatting>
  <conditionalFormatting sqref="D4:D21">
    <cfRule type="cellIs" dxfId="4" priority="6" operator="equal">
      <formula>"Travelling"</formula>
    </cfRule>
  </conditionalFormatting>
  <conditionalFormatting sqref="D4:D21">
    <cfRule type="cellIs" dxfId="5" priority="7" operator="equal">
      <formula>"Machinery"</formula>
    </cfRule>
  </conditionalFormatting>
  <conditionalFormatting sqref="D4:D21">
    <cfRule type="cellIs" dxfId="6" priority="8" operator="equal">
      <formula>"Materials"</formula>
    </cfRule>
  </conditionalFormatting>
  <conditionalFormatting sqref="D4:D21">
    <cfRule type="cellIs" dxfId="7" priority="9" operator="equal">
      <formula>"Marketing"</formula>
    </cfRule>
  </conditionalFormatting>
  <hyperlinks>
    <hyperlink r:id="rId1" ref="B5"/>
    <hyperlink r:id="rId2" ref="B12"/>
    <hyperlink r:id="rId3" ref="B20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0.5"/>
    <col customWidth="1" min="3" max="3" width="36.13"/>
    <col customWidth="1" min="8" max="8" width="21.63"/>
    <col customWidth="1" min="13" max="13" width="22.25"/>
    <col customWidth="1" min="20" max="20" width="16.63"/>
  </cols>
  <sheetData>
    <row r="1">
      <c r="A1" s="53"/>
      <c r="B1" s="53"/>
      <c r="C1" s="53"/>
      <c r="D1" s="53"/>
      <c r="E1" s="53"/>
      <c r="F1" s="54"/>
      <c r="G1" s="53"/>
      <c r="H1" s="53"/>
      <c r="I1" s="53"/>
      <c r="J1" s="53"/>
      <c r="K1" s="54"/>
      <c r="L1" s="53"/>
      <c r="M1" s="53"/>
      <c r="N1" s="53"/>
      <c r="O1" s="53"/>
      <c r="P1" s="53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>
      <c r="A2" s="55"/>
      <c r="B2" s="56" t="s">
        <v>35</v>
      </c>
      <c r="F2" s="57"/>
      <c r="G2" s="58" t="s">
        <v>36</v>
      </c>
      <c r="K2" s="59"/>
      <c r="L2" s="56" t="s">
        <v>33</v>
      </c>
      <c r="Q2" s="54"/>
      <c r="R2" s="54"/>
      <c r="S2" s="54"/>
      <c r="T2" s="54"/>
      <c r="U2" s="53" t="s">
        <v>37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>
      <c r="A3" s="60"/>
      <c r="B3" s="61" t="s">
        <v>38</v>
      </c>
      <c r="C3" s="61" t="s">
        <v>39</v>
      </c>
      <c r="D3" s="61" t="s">
        <v>40</v>
      </c>
      <c r="E3" s="61" t="s">
        <v>41</v>
      </c>
      <c r="F3" s="54"/>
      <c r="G3" s="62" t="s">
        <v>39</v>
      </c>
      <c r="H3" s="63" t="s">
        <v>42</v>
      </c>
      <c r="I3" s="63" t="s">
        <v>43</v>
      </c>
      <c r="J3" s="62" t="s">
        <v>41</v>
      </c>
      <c r="K3" s="60"/>
      <c r="L3" s="61" t="s">
        <v>38</v>
      </c>
      <c r="M3" s="61" t="s">
        <v>39</v>
      </c>
      <c r="N3" s="61" t="s">
        <v>40</v>
      </c>
      <c r="O3" s="61" t="s">
        <v>0</v>
      </c>
      <c r="P3" s="61" t="s">
        <v>41</v>
      </c>
      <c r="Q3" s="54"/>
      <c r="R3" s="54"/>
      <c r="S3" s="53" t="s">
        <v>44</v>
      </c>
      <c r="T3" s="64">
        <v>4.6E7</v>
      </c>
      <c r="U3" s="65">
        <v>0.05</v>
      </c>
      <c r="V3" s="66">
        <f>T3*U3</f>
        <v>2300000</v>
      </c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>
      <c r="A4" s="57"/>
      <c r="B4" s="67"/>
      <c r="C4" s="68" t="s">
        <v>118</v>
      </c>
      <c r="D4" s="69" t="s">
        <v>46</v>
      </c>
      <c r="E4" s="70">
        <f>1400*12</f>
        <v>16800</v>
      </c>
      <c r="F4" s="71"/>
      <c r="G4" s="144" t="s">
        <v>87</v>
      </c>
      <c r="H4" s="73">
        <v>65.0</v>
      </c>
      <c r="I4" s="72">
        <v>3000.0</v>
      </c>
      <c r="J4" s="74">
        <f t="shared" ref="J4:J10" si="1">H4*I4</f>
        <v>195000</v>
      </c>
      <c r="K4" s="75"/>
      <c r="L4" s="68"/>
      <c r="M4" s="68"/>
      <c r="N4" s="68"/>
      <c r="O4" s="106"/>
      <c r="P4" s="70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>
      <c r="A5" s="75"/>
      <c r="B5" s="77" t="s">
        <v>49</v>
      </c>
      <c r="C5" s="78" t="s">
        <v>136</v>
      </c>
      <c r="D5" s="78" t="s">
        <v>51</v>
      </c>
      <c r="E5" s="79">
        <v>172200.0</v>
      </c>
      <c r="F5" s="54"/>
      <c r="G5" s="115" t="s">
        <v>120</v>
      </c>
      <c r="H5" s="142">
        <v>70.0</v>
      </c>
      <c r="I5" s="115">
        <v>3000.0</v>
      </c>
      <c r="J5" s="74">
        <f t="shared" si="1"/>
        <v>210000</v>
      </c>
      <c r="K5" s="75"/>
      <c r="L5" s="78"/>
      <c r="M5" s="78"/>
      <c r="N5" s="78"/>
      <c r="O5" s="107"/>
      <c r="P5" s="79"/>
      <c r="Q5" s="54"/>
      <c r="R5" s="54"/>
      <c r="S5" s="53" t="s">
        <v>53</v>
      </c>
      <c r="T5" s="65">
        <v>0.5</v>
      </c>
      <c r="U5" s="66">
        <f>V3*T5</f>
        <v>1150000</v>
      </c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</row>
    <row r="6">
      <c r="A6" s="82"/>
      <c r="B6" s="83"/>
      <c r="C6" s="72" t="s">
        <v>121</v>
      </c>
      <c r="D6" s="83" t="s">
        <v>55</v>
      </c>
      <c r="E6" s="84">
        <f>200*6*1.7</f>
        <v>2040</v>
      </c>
      <c r="F6" s="108" t="s">
        <v>150</v>
      </c>
      <c r="G6" s="72" t="s">
        <v>122</v>
      </c>
      <c r="H6" s="73">
        <v>70.0</v>
      </c>
      <c r="I6" s="72">
        <v>3000.0</v>
      </c>
      <c r="J6" s="74">
        <f t="shared" si="1"/>
        <v>210000</v>
      </c>
      <c r="K6" s="82"/>
      <c r="L6" s="83"/>
      <c r="M6" s="83"/>
      <c r="N6" s="83"/>
      <c r="O6" s="109"/>
      <c r="P6" s="84"/>
      <c r="Q6" s="85"/>
      <c r="R6" s="85"/>
      <c r="S6" s="88" t="s">
        <v>56</v>
      </c>
      <c r="T6" s="88" t="s">
        <v>57</v>
      </c>
      <c r="U6" s="89">
        <v>300000.0</v>
      </c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</row>
    <row r="7">
      <c r="A7" s="110"/>
      <c r="B7" s="111" t="s">
        <v>137</v>
      </c>
      <c r="C7" s="78" t="s">
        <v>90</v>
      </c>
      <c r="D7" s="90" t="s">
        <v>60</v>
      </c>
      <c r="E7" s="79">
        <v>60000.0</v>
      </c>
      <c r="F7" s="112">
        <v>20000.0</v>
      </c>
      <c r="G7" s="115" t="s">
        <v>138</v>
      </c>
      <c r="H7" s="142">
        <v>70.0</v>
      </c>
      <c r="I7" s="115">
        <v>3000.0</v>
      </c>
      <c r="J7" s="74">
        <f t="shared" si="1"/>
        <v>210000</v>
      </c>
      <c r="K7" s="75"/>
      <c r="L7" s="78"/>
      <c r="M7" s="78"/>
      <c r="N7" s="78"/>
      <c r="O7" s="107"/>
      <c r="P7" s="79"/>
      <c r="Q7" s="54"/>
      <c r="R7" s="54"/>
      <c r="S7" s="53" t="s">
        <v>61</v>
      </c>
      <c r="T7" s="53">
        <v>2.28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</row>
    <row r="8">
      <c r="A8" s="75"/>
      <c r="B8" s="67" t="s">
        <v>91</v>
      </c>
      <c r="C8" s="68" t="s">
        <v>151</v>
      </c>
      <c r="D8" s="68" t="s">
        <v>66</v>
      </c>
      <c r="E8" s="70">
        <v>42000.0</v>
      </c>
      <c r="F8" s="54"/>
      <c r="G8" s="72" t="s">
        <v>140</v>
      </c>
      <c r="H8" s="73">
        <v>60.0</v>
      </c>
      <c r="I8" s="72">
        <v>3000.0</v>
      </c>
      <c r="J8" s="74">
        <f t="shared" si="1"/>
        <v>180000</v>
      </c>
      <c r="K8" s="75"/>
      <c r="L8" s="68"/>
      <c r="M8" s="68"/>
      <c r="N8" s="68"/>
      <c r="O8" s="106"/>
      <c r="P8" s="70"/>
      <c r="Q8" s="54"/>
      <c r="R8" s="54"/>
      <c r="S8" s="53" t="s">
        <v>64</v>
      </c>
      <c r="T8" s="66">
        <f>(U5+U6)*T7</f>
        <v>3306000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>
      <c r="A9" s="75"/>
      <c r="B9" s="78" t="s">
        <v>67</v>
      </c>
      <c r="C9" s="78" t="s">
        <v>152</v>
      </c>
      <c r="D9" s="78" t="s">
        <v>66</v>
      </c>
      <c r="E9" s="79">
        <v>693000.0</v>
      </c>
      <c r="F9" s="54"/>
      <c r="G9" s="115" t="s">
        <v>142</v>
      </c>
      <c r="H9" s="142">
        <v>65.0</v>
      </c>
      <c r="I9" s="115">
        <v>3000.0</v>
      </c>
      <c r="J9" s="74">
        <f t="shared" si="1"/>
        <v>195000</v>
      </c>
      <c r="K9" s="75"/>
      <c r="L9" s="68"/>
      <c r="M9" s="68"/>
      <c r="N9" s="68"/>
      <c r="O9" s="68"/>
      <c r="P9" s="70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>
      <c r="A10" s="75"/>
      <c r="B10" s="83" t="s">
        <v>67</v>
      </c>
      <c r="C10" s="72" t="s">
        <v>153</v>
      </c>
      <c r="D10" s="83" t="s">
        <v>66</v>
      </c>
      <c r="E10" s="74">
        <v>21000.0</v>
      </c>
      <c r="F10" s="54"/>
      <c r="G10" s="72" t="s">
        <v>144</v>
      </c>
      <c r="H10" s="73">
        <v>65.0</v>
      </c>
      <c r="I10" s="72">
        <v>3000.0</v>
      </c>
      <c r="J10" s="74">
        <f t="shared" si="1"/>
        <v>195000</v>
      </c>
      <c r="K10" s="75"/>
      <c r="L10" s="78"/>
      <c r="M10" s="78"/>
      <c r="N10" s="78"/>
      <c r="O10" s="78"/>
      <c r="P10" s="7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</row>
    <row r="11">
      <c r="A11" s="75"/>
      <c r="B11" s="111" t="s">
        <v>127</v>
      </c>
      <c r="C11" s="78" t="s">
        <v>154</v>
      </c>
      <c r="D11" s="78" t="s">
        <v>66</v>
      </c>
      <c r="E11" s="79">
        <v>73500.0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>
      <c r="A12" s="57"/>
      <c r="B12" s="76"/>
      <c r="C12" s="68" t="s">
        <v>129</v>
      </c>
      <c r="D12" s="68" t="s">
        <v>51</v>
      </c>
      <c r="E12" s="70">
        <v>14000.0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>
      <c r="A13" s="75"/>
      <c r="B13" s="143"/>
      <c r="C13" s="78" t="s">
        <v>146</v>
      </c>
      <c r="D13" s="78" t="s">
        <v>51</v>
      </c>
      <c r="E13" s="79">
        <v>3600.0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</row>
    <row r="14">
      <c r="A14" s="82"/>
      <c r="B14" s="72"/>
      <c r="C14" s="72" t="s">
        <v>147</v>
      </c>
      <c r="D14" s="72" t="s">
        <v>51</v>
      </c>
      <c r="E14" s="74">
        <v>34400.0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</row>
    <row r="15">
      <c r="A15" s="75"/>
      <c r="B15" s="78"/>
      <c r="C15" s="78" t="s">
        <v>132</v>
      </c>
      <c r="D15" s="78" t="s">
        <v>51</v>
      </c>
      <c r="E15" s="79">
        <v>27552.0</v>
      </c>
      <c r="F15" s="54"/>
      <c r="G15" s="54"/>
      <c r="H15" s="75" t="s">
        <v>103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>
      <c r="A16" s="75"/>
      <c r="B16" s="68"/>
      <c r="C16" s="68" t="s">
        <v>148</v>
      </c>
      <c r="D16" s="68" t="s">
        <v>51</v>
      </c>
      <c r="E16" s="70">
        <v>22386.0</v>
      </c>
      <c r="F16" s="54"/>
      <c r="G16" s="54"/>
      <c r="H16" s="53" t="s">
        <v>105</v>
      </c>
      <c r="I16" s="64">
        <v>2.0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  <row r="17">
      <c r="A17" s="57"/>
      <c r="B17" s="91"/>
      <c r="C17" s="78" t="s">
        <v>149</v>
      </c>
      <c r="D17" s="78" t="s">
        <v>51</v>
      </c>
      <c r="E17" s="79">
        <v>17220.0</v>
      </c>
      <c r="F17" s="54"/>
      <c r="G17" s="54"/>
      <c r="H17" s="53" t="s">
        <v>106</v>
      </c>
      <c r="I17" s="64">
        <v>33.0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</row>
    <row r="18">
      <c r="A18" s="75"/>
      <c r="B18" s="68"/>
      <c r="C18" s="68" t="s">
        <v>134</v>
      </c>
      <c r="D18" s="68" t="s">
        <v>72</v>
      </c>
      <c r="E18" s="70">
        <f t="shared" ref="E18:E19" si="2">20000</f>
        <v>20000</v>
      </c>
      <c r="F18" s="54"/>
      <c r="G18" s="54"/>
      <c r="H18" s="53" t="s">
        <v>107</v>
      </c>
      <c r="I18" s="64">
        <v>1.0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</row>
    <row r="19">
      <c r="A19" s="75"/>
      <c r="B19" s="78"/>
      <c r="C19" s="78" t="s">
        <v>102</v>
      </c>
      <c r="D19" s="68" t="s">
        <v>72</v>
      </c>
      <c r="E19" s="79">
        <f t="shared" si="2"/>
        <v>20000</v>
      </c>
      <c r="F19" s="54"/>
      <c r="G19" s="54"/>
      <c r="H19" s="53" t="s">
        <v>108</v>
      </c>
      <c r="I19" s="66">
        <f>SUM(I16:I18)</f>
        <v>36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>
      <c r="A20" s="75"/>
      <c r="B20" s="93" t="s">
        <v>76</v>
      </c>
      <c r="C20" s="72" t="s">
        <v>77</v>
      </c>
      <c r="D20" s="78" t="s">
        <v>51</v>
      </c>
      <c r="E20" s="74">
        <v>2730.0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</row>
    <row r="21">
      <c r="A21" s="75"/>
      <c r="B21" s="78"/>
      <c r="C21" s="78"/>
      <c r="D21" s="78"/>
      <c r="E21" s="79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>
      <c r="A22" s="53"/>
      <c r="B22" s="53"/>
      <c r="C22" s="75"/>
      <c r="D22" s="75"/>
      <c r="E22" s="9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</row>
    <row r="23">
      <c r="A23" s="53"/>
      <c r="B23" s="53"/>
      <c r="C23" s="75"/>
      <c r="D23" s="75"/>
      <c r="E23" s="9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</row>
    <row r="24">
      <c r="A24" s="54"/>
      <c r="B24" s="54"/>
      <c r="C24" s="57"/>
      <c r="D24" s="57"/>
      <c r="E24" s="96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</row>
    <row r="25">
      <c r="A25" s="55"/>
      <c r="B25" s="56" t="s">
        <v>79</v>
      </c>
      <c r="D25" s="57"/>
      <c r="E25" s="96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</row>
    <row r="26">
      <c r="A26" s="57"/>
      <c r="B26" s="67" t="s">
        <v>80</v>
      </c>
      <c r="C26" s="96">
        <f>SUM(P4-P10)+SUM(J4:J10)-SUM(E4:E21)</f>
        <v>152572</v>
      </c>
      <c r="D26" s="57"/>
      <c r="E26" s="96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</row>
    <row r="27">
      <c r="A27" s="57"/>
      <c r="B27" s="91" t="s">
        <v>36</v>
      </c>
      <c r="C27" s="96">
        <f>SUM(J4:J10)</f>
        <v>1395000</v>
      </c>
      <c r="D27" s="57"/>
      <c r="E27" s="66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</row>
    <row r="28">
      <c r="A28" s="57"/>
      <c r="B28" s="67" t="s">
        <v>81</v>
      </c>
      <c r="C28" s="96">
        <f>SUM(J4:J10)-SUM(E4:E21)</f>
        <v>152572</v>
      </c>
      <c r="D28" s="57"/>
      <c r="E28" s="66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</row>
    <row r="29">
      <c r="A29" s="54"/>
      <c r="B29" s="78" t="s">
        <v>82</v>
      </c>
      <c r="C29" s="96">
        <f>'Year 1'!C29+C26</f>
        <v>154677</v>
      </c>
      <c r="D29" s="57"/>
      <c r="E29" s="66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</row>
    <row r="30">
      <c r="A30" s="54"/>
      <c r="B30" s="67" t="s">
        <v>83</v>
      </c>
      <c r="C30" s="66">
        <f>SUM(E4:E25)-C31</f>
        <v>1165628</v>
      </c>
      <c r="D30" s="57"/>
      <c r="E30" s="66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</row>
    <row r="31">
      <c r="A31" s="54"/>
      <c r="B31" s="78" t="s">
        <v>84</v>
      </c>
      <c r="C31" s="96">
        <f>SUM(E4,E7)</f>
        <v>76800</v>
      </c>
      <c r="D31" s="57"/>
      <c r="E31" s="66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</row>
    <row r="32">
      <c r="A32" s="54"/>
      <c r="B32" s="54"/>
      <c r="C32" s="57"/>
      <c r="D32" s="57"/>
      <c r="E32" s="66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</row>
    <row r="33">
      <c r="A33" s="54"/>
      <c r="B33" s="54"/>
      <c r="C33" s="57"/>
      <c r="D33" s="57"/>
      <c r="E33" s="66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</row>
    <row r="34">
      <c r="A34" s="54"/>
      <c r="B34" s="98"/>
      <c r="C34" s="99" t="s">
        <v>46</v>
      </c>
      <c r="D34" s="57"/>
      <c r="E34" s="66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</row>
    <row r="35">
      <c r="A35" s="54"/>
      <c r="B35" s="100"/>
      <c r="C35" s="99" t="s">
        <v>51</v>
      </c>
      <c r="D35" s="57"/>
      <c r="E35" s="66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</row>
    <row r="36">
      <c r="A36" s="54"/>
      <c r="B36" s="101"/>
      <c r="C36" s="99" t="s">
        <v>55</v>
      </c>
      <c r="D36" s="57"/>
      <c r="E36" s="66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</row>
    <row r="37">
      <c r="A37" s="54"/>
      <c r="B37" s="102"/>
      <c r="C37" s="99" t="s">
        <v>60</v>
      </c>
      <c r="D37" s="57"/>
      <c r="E37" s="66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</row>
    <row r="38">
      <c r="A38" s="54"/>
      <c r="B38" s="103"/>
      <c r="C38" s="99" t="s">
        <v>66</v>
      </c>
      <c r="D38" s="57"/>
      <c r="E38" s="66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</row>
    <row r="39">
      <c r="A39" s="54"/>
      <c r="B39" s="104"/>
      <c r="C39" s="99" t="s">
        <v>72</v>
      </c>
      <c r="D39" s="57"/>
      <c r="E39" s="66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</row>
    <row r="40">
      <c r="A40" s="54"/>
      <c r="B40" s="138"/>
      <c r="C40" s="99" t="s">
        <v>75</v>
      </c>
      <c r="D40" s="57"/>
      <c r="E40" s="66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</row>
    <row r="41">
      <c r="A41" s="54"/>
      <c r="B41" s="54"/>
      <c r="C41" s="57"/>
      <c r="D41" s="57"/>
      <c r="E41" s="66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</row>
    <row r="42">
      <c r="A42" s="54"/>
      <c r="B42" s="54"/>
      <c r="C42" s="57"/>
      <c r="D42" s="57"/>
      <c r="E42" s="66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>
      <c r="A43" s="54"/>
      <c r="B43" s="54"/>
      <c r="C43" s="57"/>
      <c r="D43" s="57"/>
      <c r="E43" s="66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>
      <c r="A44" s="54"/>
      <c r="B44" s="54"/>
      <c r="C44" s="54"/>
      <c r="D44" s="54"/>
      <c r="E44" s="66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>
      <c r="A45" s="54"/>
      <c r="B45" s="54"/>
      <c r="C45" s="54"/>
      <c r="D45" s="54"/>
      <c r="E45" s="66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>
      <c r="A46" s="54"/>
      <c r="B46" s="54"/>
      <c r="C46" s="54"/>
      <c r="D46" s="54"/>
      <c r="E46" s="66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>
      <c r="A47" s="54"/>
      <c r="B47" s="54"/>
      <c r="C47" s="54"/>
      <c r="D47" s="54"/>
      <c r="E47" s="66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>
      <c r="A48" s="54"/>
      <c r="B48" s="54"/>
      <c r="C48" s="54"/>
      <c r="D48" s="54"/>
      <c r="E48" s="66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>
      <c r="A49" s="54"/>
      <c r="B49" s="54"/>
      <c r="C49" s="54"/>
      <c r="D49" s="54"/>
      <c r="E49" s="66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>
      <c r="A50" s="54"/>
      <c r="B50" s="54"/>
      <c r="C50" s="54"/>
      <c r="D50" s="54"/>
      <c r="E50" s="66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>
      <c r="A51" s="54"/>
      <c r="B51" s="54"/>
      <c r="C51" s="54"/>
      <c r="D51" s="54"/>
      <c r="E51" s="66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>
      <c r="A52" s="54"/>
      <c r="B52" s="54"/>
      <c r="C52" s="54"/>
      <c r="D52" s="54"/>
      <c r="E52" s="66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>
      <c r="A53" s="54"/>
      <c r="B53" s="54"/>
      <c r="C53" s="54"/>
      <c r="D53" s="54"/>
      <c r="E53" s="66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>
      <c r="A54" s="54"/>
      <c r="B54" s="54"/>
      <c r="C54" s="54"/>
      <c r="D54" s="54"/>
      <c r="E54" s="66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</row>
    <row r="1004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</row>
    <row r="1005">
      <c r="A1005" s="54"/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</row>
    <row r="1006">
      <c r="A1006" s="54"/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</row>
    <row r="1007">
      <c r="A1007" s="54"/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</row>
    <row r="1008">
      <c r="A1008" s="54"/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</row>
    <row r="1009">
      <c r="A1009" s="54"/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</row>
    <row r="1010">
      <c r="A1010" s="54"/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</row>
    <row r="1011">
      <c r="A1011" s="54"/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</row>
  </sheetData>
  <mergeCells count="5">
    <mergeCell ref="B2:E2"/>
    <mergeCell ref="G2:J2"/>
    <mergeCell ref="L2:P2"/>
    <mergeCell ref="H15:I15"/>
    <mergeCell ref="B25:C25"/>
  </mergeCells>
  <conditionalFormatting sqref="D4 D7 D18:D20">
    <cfRule type="cellIs" dxfId="8" priority="1" operator="equal">
      <formula>"Burocracy"</formula>
    </cfRule>
  </conditionalFormatting>
  <conditionalFormatting sqref="C26:C29">
    <cfRule type="cellIs" dxfId="0" priority="2" operator="greaterThan">
      <formula>0</formula>
    </cfRule>
  </conditionalFormatting>
  <conditionalFormatting sqref="C26:C29">
    <cfRule type="cellIs" dxfId="1" priority="3" operator="lessThan">
      <formula>0</formula>
    </cfRule>
  </conditionalFormatting>
  <conditionalFormatting sqref="D4:D21">
    <cfRule type="cellIs" dxfId="2" priority="4" operator="equal">
      <formula>"Workspace"</formula>
    </cfRule>
  </conditionalFormatting>
  <conditionalFormatting sqref="D4:D21">
    <cfRule type="cellIs" dxfId="3" priority="5" operator="equal">
      <formula>"HR"</formula>
    </cfRule>
  </conditionalFormatting>
  <conditionalFormatting sqref="D4:D21">
    <cfRule type="cellIs" dxfId="4" priority="6" operator="equal">
      <formula>"Travelling"</formula>
    </cfRule>
  </conditionalFormatting>
  <conditionalFormatting sqref="D4:D21">
    <cfRule type="cellIs" dxfId="5" priority="7" operator="equal">
      <formula>"Machinery"</formula>
    </cfRule>
  </conditionalFormatting>
  <conditionalFormatting sqref="D4:D21">
    <cfRule type="cellIs" dxfId="6" priority="8" operator="equal">
      <formula>"Materials"</formula>
    </cfRule>
  </conditionalFormatting>
  <conditionalFormatting sqref="D4:D21">
    <cfRule type="cellIs" dxfId="7" priority="9" operator="equal">
      <formula>"Marketing"</formula>
    </cfRule>
  </conditionalFormatting>
  <hyperlinks>
    <hyperlink r:id="rId1" ref="B5"/>
    <hyperlink r:id="rId2" ref="B12"/>
    <hyperlink r:id="rId3" ref="B20"/>
  </hyperlinks>
  <drawing r:id="rId4"/>
</worksheet>
</file>