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e 1" sheetId="1" r:id="rId4"/>
    <sheet state="visible" name="Parte 2" sheetId="2" r:id="rId5"/>
    <sheet state="visible" name="Parte 2 new" sheetId="3" r:id="rId6"/>
    <sheet state="visible" name="Parte 3" sheetId="4" r:id="rId7"/>
    <sheet state="visible" name="Parte 3 new" sheetId="5" r:id="rId8"/>
    <sheet state="visible" name="Parte 4" sheetId="6" r:id="rId9"/>
  </sheets>
  <definedNames/>
  <calcPr/>
  <extLst>
    <ext uri="GoogleSheetsCustomDataVersion2">
      <go:sheetsCustomData xmlns:go="http://customooxmlschemas.google.com/" r:id="rId10" roundtripDataChecksum="2RZK3rYhYRxyVC+G8Ky7ss/o3QCJaeMQcq3KslSYTGA="/>
    </ext>
  </extLst>
</workbook>
</file>

<file path=xl/sharedStrings.xml><?xml version="1.0" encoding="utf-8"?>
<sst xmlns="http://schemas.openxmlformats.org/spreadsheetml/2006/main" count="348" uniqueCount="116">
  <si>
    <t>Vp</t>
  </si>
  <si>
    <t>Primário(V)</t>
  </si>
  <si>
    <t>Referência(mV)</t>
  </si>
  <si>
    <t>Secundário(V)</t>
  </si>
  <si>
    <t>Designação</t>
  </si>
  <si>
    <t>V1</t>
  </si>
  <si>
    <t>Erro</t>
  </si>
  <si>
    <t>V2</t>
  </si>
  <si>
    <t>np</t>
  </si>
  <si>
    <t>ns</t>
  </si>
  <si>
    <t>R1</t>
  </si>
  <si>
    <t>R2</t>
  </si>
  <si>
    <t>H</t>
  </si>
  <si>
    <t>B</t>
  </si>
  <si>
    <t>Constantes:</t>
  </si>
  <si>
    <t>Bs</t>
  </si>
  <si>
    <t>-</t>
  </si>
  <si>
    <t>Delta</t>
  </si>
  <si>
    <t>S</t>
  </si>
  <si>
    <t>C</t>
  </si>
  <si>
    <t>Br</t>
  </si>
  <si>
    <t>Hc</t>
  </si>
  <si>
    <t>CONFIRMAR</t>
  </si>
  <si>
    <t>cm</t>
  </si>
  <si>
    <t>m</t>
  </si>
  <si>
    <t>Erros medidas</t>
  </si>
  <si>
    <t>Comprimento</t>
  </si>
  <si>
    <t>Altura</t>
  </si>
  <si>
    <t>Core comprimento</t>
  </si>
  <si>
    <t>Core espessura</t>
  </si>
  <si>
    <t>Pontas de prova atenuam x10</t>
  </si>
  <si>
    <t>?</t>
  </si>
  <si>
    <t>erro</t>
  </si>
  <si>
    <t>comprimento</t>
  </si>
  <si>
    <t>metade</t>
  </si>
  <si>
    <t>altura</t>
  </si>
  <si>
    <t>core comprimento</t>
  </si>
  <si>
    <t>Espessura</t>
  </si>
  <si>
    <t>cm2</t>
  </si>
  <si>
    <t>delta</t>
  </si>
  <si>
    <t>A</t>
  </si>
  <si>
    <t>V1ef</t>
  </si>
  <si>
    <t>V2ef</t>
  </si>
  <si>
    <t>&lt;V1*V2&gt;</t>
  </si>
  <si>
    <t>U1ef</t>
  </si>
  <si>
    <t>I1ef(A)</t>
  </si>
  <si>
    <t>U2ef(V)</t>
  </si>
  <si>
    <t>P10(W)</t>
  </si>
  <si>
    <t>P12</t>
  </si>
  <si>
    <t>r1</t>
  </si>
  <si>
    <t>lam11</t>
  </si>
  <si>
    <t>rfe</t>
  </si>
  <si>
    <t>l11*w</t>
  </si>
  <si>
    <t>sin(phiFe)</t>
  </si>
  <si>
    <t>cos(phiFe)</t>
  </si>
  <si>
    <t>n1</t>
  </si>
  <si>
    <t>n2</t>
  </si>
  <si>
    <t>w</t>
  </si>
  <si>
    <t>R</t>
  </si>
  <si>
    <t>U2ef</t>
  </si>
  <si>
    <t>I2ef</t>
  </si>
  <si>
    <t>P20</t>
  </si>
  <si>
    <t>P21</t>
  </si>
  <si>
    <t>r2'</t>
  </si>
  <si>
    <t>lam22'</t>
  </si>
  <si>
    <t>I1ef</t>
  </si>
  <si>
    <t>P10</t>
  </si>
  <si>
    <t>r1+r2'</t>
  </si>
  <si>
    <t>lam11+lam22'</t>
  </si>
  <si>
    <t>Aqui a  resistencia é 1 ohm</t>
  </si>
  <si>
    <t>V(Y1)ef</t>
  </si>
  <si>
    <t>V(Y2)ef</t>
  </si>
  <si>
    <t>&lt;V(Y1)*V(Y2)&gt;</t>
  </si>
  <si>
    <t>l11</t>
  </si>
  <si>
    <t>l11*cos(phiFe)</t>
  </si>
  <si>
    <t>lambda_11</t>
  </si>
  <si>
    <t>Y1a</t>
  </si>
  <si>
    <t>Y1b</t>
  </si>
  <si>
    <t>Parâmetros fixos</t>
  </si>
  <si>
    <t>PQ MUDA?</t>
  </si>
  <si>
    <t>lambda_22</t>
  </si>
  <si>
    <t>lambda_11+lambda_22</t>
  </si>
  <si>
    <t>Y1</t>
  </si>
  <si>
    <t>Vnominal</t>
  </si>
  <si>
    <t>230V</t>
  </si>
  <si>
    <t>Pnominal</t>
  </si>
  <si>
    <t>200VA</t>
  </si>
  <si>
    <t>Inominal</t>
  </si>
  <si>
    <t>V1 nom</t>
  </si>
  <si>
    <t>P nom</t>
  </si>
  <si>
    <t>R2min</t>
  </si>
  <si>
    <t>R(potenciometro)</t>
  </si>
  <si>
    <t>Vp/Vs</t>
  </si>
  <si>
    <t>Is/Ip</t>
  </si>
  <si>
    <t>Zp/Zs</t>
  </si>
  <si>
    <t>Carga</t>
  </si>
  <si>
    <t>Efficiency exp</t>
  </si>
  <si>
    <t>Ideal</t>
  </si>
  <si>
    <t>Var</t>
  </si>
  <si>
    <t>Vo</t>
  </si>
  <si>
    <t>Vo error</t>
  </si>
  <si>
    <t>RL</t>
  </si>
  <si>
    <t>P10 erro</t>
  </si>
  <si>
    <t>Vr</t>
  </si>
  <si>
    <t>Vr erro</t>
  </si>
  <si>
    <t>Steinmetz</t>
  </si>
  <si>
    <t>Valores Steinmetz</t>
  </si>
  <si>
    <t>Rendimento</t>
  </si>
  <si>
    <t>Exp</t>
  </si>
  <si>
    <t>Z1</t>
  </si>
  <si>
    <t>Abs</t>
  </si>
  <si>
    <t>r2</t>
  </si>
  <si>
    <t>Z2</t>
  </si>
  <si>
    <t>r_Fe</t>
  </si>
  <si>
    <t>l_11cos</t>
  </si>
  <si>
    <t>Zfe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</si>
</sst>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9.0"/>
      <color rgb="FF3F5CA9"/>
      <name val="&quot;Google Sans Mono&quot;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7" fontId="2" numFmtId="0" xfId="0" applyAlignment="1" applyFont="1">
      <alignment horizontal="center" readingOrder="0"/>
    </xf>
    <xf borderId="0" fillId="9" fontId="2" numFmtId="0" xfId="0" applyAlignment="1" applyFill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10" fontId="3" numFmtId="0" xfId="0" applyFill="1" applyFont="1"/>
    <xf borderId="0" fillId="11" fontId="2" numFmtId="0" xfId="0" applyAlignment="1" applyFill="1" applyFont="1">
      <alignment horizontal="center" readingOrder="0"/>
    </xf>
    <xf borderId="0" fillId="12" fontId="2" numFmtId="0" xfId="0" applyAlignment="1" applyFill="1" applyFont="1">
      <alignment horizontal="center" readingOrder="0"/>
    </xf>
    <xf borderId="0" fillId="0" fontId="2" numFmtId="10" xfId="0" applyAlignment="1" applyFont="1" applyNumberFormat="1">
      <alignment horizontal="center"/>
    </xf>
    <xf borderId="0" fillId="0" fontId="2" numFmtId="10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1.71"/>
    <col customWidth="1" min="3" max="3" width="16.29"/>
    <col customWidth="1" min="4" max="4" width="17.29"/>
    <col customWidth="1" min="5" max="5" width="10.71"/>
    <col customWidth="1" min="6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>
        <v>4.0</v>
      </c>
      <c r="B2" s="3">
        <v>4.09</v>
      </c>
      <c r="C2" s="3">
        <v>19.3</v>
      </c>
      <c r="D2" s="3">
        <v>0.359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>
        <v>8.0</v>
      </c>
      <c r="B3" s="3">
        <v>8.36</v>
      </c>
      <c r="C3" s="3">
        <v>39.9</v>
      </c>
      <c r="D3" s="3">
        <v>0.736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>
        <v>12.0</v>
      </c>
      <c r="B4" s="3">
        <v>12.19</v>
      </c>
      <c r="C4" s="3">
        <v>58.5</v>
      </c>
      <c r="D4" s="3">
        <v>1.076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>
        <v>16.0</v>
      </c>
      <c r="B5" s="3">
        <v>16.71</v>
      </c>
      <c r="C5" s="3">
        <v>80.6</v>
      </c>
      <c r="D5" s="3">
        <v>1.474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>
        <v>20.0</v>
      </c>
      <c r="B6" s="3">
        <v>20.63</v>
      </c>
      <c r="C6" s="3">
        <v>99.3</v>
      </c>
      <c r="D6" s="3">
        <v>1.815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>
        <v>24.0</v>
      </c>
      <c r="B7" s="3">
        <v>24.35</v>
      </c>
      <c r="C7" s="3">
        <v>117.6</v>
      </c>
      <c r="D7" s="3">
        <v>2.144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>
        <v>28.0</v>
      </c>
      <c r="B8" s="3">
        <v>28.51</v>
      </c>
      <c r="C8" s="3">
        <v>138.0</v>
      </c>
      <c r="D8" s="3">
        <v>2.513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>
        <v>32.0</v>
      </c>
      <c r="B9" s="3">
        <v>32.74</v>
      </c>
      <c r="C9" s="3">
        <v>158.6</v>
      </c>
      <c r="D9" s="3">
        <v>2.884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>
        <v>36.0</v>
      </c>
      <c r="B10" s="3">
        <v>36.35</v>
      </c>
      <c r="C10" s="3">
        <v>176.5</v>
      </c>
      <c r="D10" s="3">
        <v>3.202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>
        <v>40.0</v>
      </c>
      <c r="B11" s="3">
        <v>40.95</v>
      </c>
      <c r="C11" s="3">
        <v>199.3</v>
      </c>
      <c r="D11" s="3">
        <v>3.609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57"/>
    <col customWidth="1" min="19" max="19" width="24.86"/>
  </cols>
  <sheetData>
    <row r="1">
      <c r="A1" s="1" t="s">
        <v>4</v>
      </c>
      <c r="B1" s="4" t="s">
        <v>5</v>
      </c>
      <c r="C1" s="1" t="s">
        <v>6</v>
      </c>
      <c r="D1" s="4" t="s">
        <v>7</v>
      </c>
      <c r="E1" s="1" t="s">
        <v>6</v>
      </c>
      <c r="F1" s="4" t="s">
        <v>8</v>
      </c>
      <c r="G1" s="1" t="s">
        <v>6</v>
      </c>
      <c r="H1" s="4" t="s">
        <v>9</v>
      </c>
      <c r="I1" s="1" t="s">
        <v>6</v>
      </c>
      <c r="J1" s="4" t="s">
        <v>10</v>
      </c>
      <c r="K1" s="1" t="s">
        <v>6</v>
      </c>
      <c r="L1" s="4" t="s">
        <v>11</v>
      </c>
      <c r="M1" s="1" t="s">
        <v>6</v>
      </c>
      <c r="N1" s="5" t="s">
        <v>12</v>
      </c>
      <c r="O1" s="1" t="s">
        <v>6</v>
      </c>
      <c r="P1" s="5" t="s">
        <v>13</v>
      </c>
      <c r="Q1" s="1" t="s">
        <v>6</v>
      </c>
      <c r="R1" s="1"/>
      <c r="S1" s="1" t="s">
        <v>14</v>
      </c>
      <c r="T1" s="6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>
      <c r="A2" s="1" t="s">
        <v>15</v>
      </c>
      <c r="B2" s="6">
        <v>1.08</v>
      </c>
      <c r="C2" s="6">
        <v>0.01</v>
      </c>
      <c r="D2" s="6" t="s">
        <v>16</v>
      </c>
      <c r="E2" s="6" t="s">
        <v>16</v>
      </c>
      <c r="F2" s="6">
        <v>619.0</v>
      </c>
      <c r="G2" s="6">
        <v>1.0</v>
      </c>
      <c r="H2" s="6">
        <v>55.0</v>
      </c>
      <c r="I2" s="6">
        <v>1.0</v>
      </c>
      <c r="J2" s="6">
        <v>10.3</v>
      </c>
      <c r="K2" s="7">
        <v>0.1</v>
      </c>
      <c r="L2" s="6">
        <v>100000.0</v>
      </c>
      <c r="M2" s="6">
        <v>0.0</v>
      </c>
      <c r="N2" s="6" t="s">
        <v>16</v>
      </c>
      <c r="O2" s="3"/>
      <c r="P2" s="3">
        <f t="shared" ref="P2:P3" si="1">L2*$W$3/(H2*$U$3)*B2</f>
        <v>1.435406699</v>
      </c>
      <c r="Q2" s="3">
        <f>((W3*B2)/(H2*U3))*M2+((L2*B2)/(H2*U3))*X3+((L2*W3)/(H2*U3))*C2+((L2*W3*B2)/(H2^2*U3))*I2+((L2*W3*B2)/(H2*U3^2))*V3</f>
        <v>0.1946816439</v>
      </c>
      <c r="R2" s="6"/>
      <c r="S2" s="8" t="s">
        <v>17</v>
      </c>
      <c r="T2" s="6" t="s">
        <v>6</v>
      </c>
      <c r="U2" s="8" t="s">
        <v>18</v>
      </c>
      <c r="V2" s="6" t="s">
        <v>6</v>
      </c>
      <c r="W2" s="8" t="s">
        <v>19</v>
      </c>
      <c r="X2" s="6" t="s">
        <v>6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>
      <c r="A3" s="1" t="s">
        <v>20</v>
      </c>
      <c r="B3" s="6">
        <v>0.511</v>
      </c>
      <c r="C3" s="6">
        <v>0.001</v>
      </c>
      <c r="D3" s="6" t="s">
        <v>16</v>
      </c>
      <c r="E3" s="6" t="s">
        <v>16</v>
      </c>
      <c r="F3" s="3"/>
      <c r="G3" s="6"/>
      <c r="H3" s="6">
        <v>55.0</v>
      </c>
      <c r="I3" s="6"/>
      <c r="J3" s="3"/>
      <c r="K3" s="6"/>
      <c r="L3" s="6">
        <v>100000.0</v>
      </c>
      <c r="M3" s="6">
        <v>0.0</v>
      </c>
      <c r="N3" s="6" t="s">
        <v>16</v>
      </c>
      <c r="O3" s="3"/>
      <c r="P3" s="3">
        <f t="shared" si="1"/>
        <v>0.6791600213</v>
      </c>
      <c r="Q3" s="3">
        <f>((W3*B3)/(H2*U3))*M2+((L2*B3)/(H2*U3))*X3+((L2*W3)/(H2*U3))*C3+((L2*W3*B3)/(H2^2*U3))*I2+((L2*W3*B3)/(H2*U3^2))*V3</f>
        <v>0.08715382087</v>
      </c>
      <c r="R3" s="3"/>
      <c r="S3" s="6">
        <f>U8+U9</f>
        <v>0.161</v>
      </c>
      <c r="T3" s="3">
        <f>2*U7</f>
        <v>0.004</v>
      </c>
      <c r="U3" s="3">
        <f>U10*U11</f>
        <v>0.001368</v>
      </c>
      <c r="V3" s="3">
        <f>U10*U7+U11*U7</f>
        <v>0.000148</v>
      </c>
      <c r="W3" s="3">
        <f>0.000001</f>
        <v>0.000001</v>
      </c>
      <c r="X3" s="6">
        <v>0.0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>
      <c r="A4" s="1" t="s">
        <v>21</v>
      </c>
      <c r="B4" s="6" t="s">
        <v>16</v>
      </c>
      <c r="C4" s="6" t="s">
        <v>16</v>
      </c>
      <c r="D4" s="6">
        <v>0.22</v>
      </c>
      <c r="E4" s="7">
        <v>0.001</v>
      </c>
      <c r="F4" s="3"/>
      <c r="G4" s="6"/>
      <c r="H4" s="6"/>
      <c r="I4" s="6"/>
      <c r="J4" s="3"/>
      <c r="K4" s="6"/>
      <c r="L4" s="6"/>
      <c r="M4" s="6"/>
      <c r="N4" s="3">
        <f> F2/(J2*$S$3)*D4</f>
        <v>82.12024362</v>
      </c>
      <c r="O4" s="3">
        <f>(D4/(J2*S3))*G2+(F2/(J2*S3))*E4+((F2*D4)/(J2^2*S3))*K2+((F2*D4)/(J2*S3^2))*T3</f>
        <v>3.343478237</v>
      </c>
      <c r="P4" s="6" t="s">
        <v>16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>
      <c r="A5" s="3"/>
      <c r="B5" s="3"/>
      <c r="C5" s="3"/>
      <c r="D5" s="3"/>
      <c r="E5" s="6" t="s">
        <v>22</v>
      </c>
      <c r="F5" s="3"/>
      <c r="G5" s="6"/>
      <c r="H5" s="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9" t="s">
        <v>23</v>
      </c>
      <c r="U6" s="9" t="s">
        <v>24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6" t="s">
        <v>25</v>
      </c>
      <c r="T7" s="6">
        <v>0.2</v>
      </c>
      <c r="U7" s="6">
        <f t="shared" ref="U7:U11" si="2">T7*0.01</f>
        <v>0.002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6"/>
      <c r="O8" s="3"/>
      <c r="P8" s="3"/>
      <c r="Q8" s="3"/>
      <c r="R8" s="3"/>
      <c r="S8" s="8" t="s">
        <v>26</v>
      </c>
      <c r="T8" s="3">
        <f>30.1-21</f>
        <v>9.1</v>
      </c>
      <c r="U8" s="6">
        <f t="shared" si="2"/>
        <v>0.091</v>
      </c>
      <c r="V8" s="6"/>
      <c r="W8" s="6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>
      <c r="A9" s="3"/>
      <c r="B9" s="6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8" t="s">
        <v>27</v>
      </c>
      <c r="T9" s="6">
        <v>7.0</v>
      </c>
      <c r="U9" s="6">
        <f t="shared" si="2"/>
        <v>0.07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>
      <c r="A10" s="6"/>
      <c r="B10" s="6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8" t="s">
        <v>28</v>
      </c>
      <c r="T10" s="6">
        <v>3.6</v>
      </c>
      <c r="U10" s="6">
        <f t="shared" si="2"/>
        <v>0.036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>
      <c r="A11" s="6"/>
      <c r="B11" s="6"/>
      <c r="C11" s="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8" t="s">
        <v>29</v>
      </c>
      <c r="T11" s="6">
        <v>3.8</v>
      </c>
      <c r="U11" s="6">
        <f t="shared" si="2"/>
        <v>0.038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>
      <c r="A12" s="6"/>
      <c r="B12" s="6"/>
      <c r="C12" s="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>
      <c r="A14" s="6"/>
      <c r="B14" s="6" t="s">
        <v>30</v>
      </c>
      <c r="C14" s="7" t="s">
        <v>31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>
      <c r="A17" s="6" t="s">
        <v>32</v>
      </c>
      <c r="B17" s="6">
        <v>0.2</v>
      </c>
      <c r="C17" s="6" t="s">
        <v>23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>
      <c r="A18" s="6" t="s">
        <v>33</v>
      </c>
      <c r="B18" s="3">
        <f>30.1-21</f>
        <v>9.1</v>
      </c>
      <c r="C18" s="6" t="s">
        <v>23</v>
      </c>
      <c r="D18" s="6" t="s">
        <v>34</v>
      </c>
      <c r="E18" s="6">
        <v>4.6</v>
      </c>
      <c r="F18" s="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>
      <c r="A19" s="6" t="s">
        <v>35</v>
      </c>
      <c r="B19" s="6">
        <v>7.0</v>
      </c>
      <c r="C19" s="6" t="s">
        <v>23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>
      <c r="A20" s="6" t="s">
        <v>36</v>
      </c>
      <c r="B20" s="6">
        <v>3.6</v>
      </c>
      <c r="C20" s="6" t="s">
        <v>23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>
      <c r="A21" s="6" t="s">
        <v>37</v>
      </c>
      <c r="B21" s="6">
        <v>3.8</v>
      </c>
      <c r="C21" s="6" t="s">
        <v>23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>
      <c r="A22" s="3"/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>
      <c r="A23" s="10" t="s">
        <v>18</v>
      </c>
      <c r="B23" s="3">
        <f>B20*B21</f>
        <v>13.68</v>
      </c>
      <c r="C23" s="6" t="s">
        <v>38</v>
      </c>
      <c r="D23" s="3">
        <f>B20*B17+B21*E22</f>
        <v>0.72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>
      <c r="A24" s="10" t="s">
        <v>39</v>
      </c>
      <c r="B24" s="3">
        <f>B18+2*B19</f>
        <v>23.1</v>
      </c>
      <c r="C24" s="6" t="s">
        <v>23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57"/>
    <col customWidth="1" min="19" max="19" width="24.86"/>
  </cols>
  <sheetData>
    <row r="1">
      <c r="A1" s="1" t="s">
        <v>4</v>
      </c>
      <c r="B1" s="4" t="s">
        <v>5</v>
      </c>
      <c r="C1" s="1" t="s">
        <v>6</v>
      </c>
      <c r="D1" s="4" t="s">
        <v>7</v>
      </c>
      <c r="E1" s="1" t="s">
        <v>6</v>
      </c>
      <c r="F1" s="4" t="s">
        <v>8</v>
      </c>
      <c r="G1" s="1" t="s">
        <v>6</v>
      </c>
      <c r="H1" s="4" t="s">
        <v>9</v>
      </c>
      <c r="I1" s="1" t="s">
        <v>6</v>
      </c>
      <c r="J1" s="4" t="s">
        <v>10</v>
      </c>
      <c r="K1" s="1" t="s">
        <v>6</v>
      </c>
      <c r="L1" s="4" t="s">
        <v>11</v>
      </c>
      <c r="M1" s="1" t="s">
        <v>6</v>
      </c>
      <c r="N1" s="5" t="s">
        <v>12</v>
      </c>
      <c r="O1" s="1" t="s">
        <v>6</v>
      </c>
      <c r="P1" s="5" t="s">
        <v>13</v>
      </c>
      <c r="Q1" s="1" t="s">
        <v>6</v>
      </c>
      <c r="R1" s="1"/>
      <c r="S1" s="1" t="s">
        <v>14</v>
      </c>
      <c r="T1" s="6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>
      <c r="A2" s="1" t="s">
        <v>15</v>
      </c>
      <c r="B2" s="6">
        <v>1.08</v>
      </c>
      <c r="C2" s="6">
        <v>0.01</v>
      </c>
      <c r="D2" s="6" t="s">
        <v>16</v>
      </c>
      <c r="E2" s="6" t="s">
        <v>16</v>
      </c>
      <c r="F2" s="6">
        <v>619.0</v>
      </c>
      <c r="G2" s="6">
        <v>1.0</v>
      </c>
      <c r="H2" s="6">
        <v>55.0</v>
      </c>
      <c r="I2" s="6">
        <v>1.0</v>
      </c>
      <c r="J2" s="6">
        <v>10.3</v>
      </c>
      <c r="K2" s="7">
        <v>0.1</v>
      </c>
      <c r="L2" s="6">
        <v>100000.0</v>
      </c>
      <c r="M2" s="6">
        <v>0.0</v>
      </c>
      <c r="N2" s="6" t="s">
        <v>16</v>
      </c>
      <c r="O2" s="3"/>
      <c r="P2" s="3">
        <f t="shared" ref="P2:P3" si="1">L2*$W$3/(H2*$U$3)*B2</f>
        <v>1.435406699</v>
      </c>
      <c r="Q2" s="3">
        <f>((W3*B2)/(H2*U3))*M2+((L2*B2)/(H2*U3))*X3+((L2*W3)/(H2*U3))*C2+((L2*W3*B2)/(H2^2*U3))*I2+((L2*W3*B2)/(H2*U3^2))*V3</f>
        <v>0.1946816439</v>
      </c>
      <c r="R2" s="6"/>
      <c r="S2" s="8" t="s">
        <v>17</v>
      </c>
      <c r="T2" s="6" t="s">
        <v>6</v>
      </c>
      <c r="U2" s="8" t="s">
        <v>18</v>
      </c>
      <c r="V2" s="6" t="s">
        <v>6</v>
      </c>
      <c r="W2" s="8" t="s">
        <v>19</v>
      </c>
      <c r="X2" s="6" t="s">
        <v>6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>
      <c r="A3" s="1" t="s">
        <v>20</v>
      </c>
      <c r="B3" s="6">
        <v>0.511</v>
      </c>
      <c r="C3" s="6">
        <v>0.001</v>
      </c>
      <c r="D3" s="6" t="s">
        <v>16</v>
      </c>
      <c r="E3" s="6" t="s">
        <v>16</v>
      </c>
      <c r="F3" s="3"/>
      <c r="G3" s="6"/>
      <c r="H3" s="6">
        <v>55.0</v>
      </c>
      <c r="I3" s="6"/>
      <c r="J3" s="3"/>
      <c r="K3" s="6"/>
      <c r="L3" s="6">
        <v>100000.0</v>
      </c>
      <c r="M3" s="6">
        <v>0.0</v>
      </c>
      <c r="N3" s="6" t="s">
        <v>16</v>
      </c>
      <c r="O3" s="3"/>
      <c r="P3" s="3">
        <f t="shared" si="1"/>
        <v>0.6791600213</v>
      </c>
      <c r="Q3" s="3">
        <f>((W3*B3)/(H2*U3))*M2+((L2*B3)/(H2*U3))*X3+((L2*W3)/(H2*U3))*C3+((L2*W3*B3)/(H2^2*U3))*I2+((L2*W3*B3)/(H2*U3^2))*V3</f>
        <v>0.08715382087</v>
      </c>
      <c r="R3" s="3"/>
      <c r="S3" s="6">
        <f>U8+2*U9</f>
        <v>0.231</v>
      </c>
      <c r="T3" s="3">
        <f>3*U7</f>
        <v>0.006</v>
      </c>
      <c r="U3" s="3">
        <f>U10*U11</f>
        <v>0.001368</v>
      </c>
      <c r="V3" s="3">
        <f>U10*U7+U11*U7</f>
        <v>0.000148</v>
      </c>
      <c r="W3" s="3">
        <f>0.000001</f>
        <v>0.000001</v>
      </c>
      <c r="X3" s="6">
        <v>0.0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>
      <c r="A4" s="1" t="s">
        <v>21</v>
      </c>
      <c r="B4" s="6" t="s">
        <v>16</v>
      </c>
      <c r="C4" s="6" t="s">
        <v>16</v>
      </c>
      <c r="D4" s="6">
        <v>0.22</v>
      </c>
      <c r="E4" s="7">
        <v>0.001</v>
      </c>
      <c r="F4" s="3"/>
      <c r="G4" s="6"/>
      <c r="H4" s="6"/>
      <c r="I4" s="6"/>
      <c r="J4" s="3"/>
      <c r="K4" s="6"/>
      <c r="L4" s="6"/>
      <c r="M4" s="6"/>
      <c r="N4" s="3">
        <f> F2/(J2*$S$3)*D4</f>
        <v>57.23532131</v>
      </c>
      <c r="O4" s="3">
        <f>(D4/(J2*S3))*G2+(F2/(J2*S3))*E4+((F2*D4)/(J2^2*S3))*K2+((F2*D4)/(J2*S3^2))*T3</f>
        <v>2.394939175</v>
      </c>
      <c r="P4" s="6" t="s">
        <v>16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>
      <c r="A5" s="3"/>
      <c r="B5" s="3"/>
      <c r="C5" s="3"/>
      <c r="D5" s="3"/>
      <c r="E5" s="6" t="s">
        <v>22</v>
      </c>
      <c r="F5" s="3"/>
      <c r="G5" s="6"/>
      <c r="H5" s="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9" t="s">
        <v>23</v>
      </c>
      <c r="U6" s="9" t="s">
        <v>24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6" t="s">
        <v>25</v>
      </c>
      <c r="T7" s="6">
        <v>0.2</v>
      </c>
      <c r="U7" s="6">
        <f t="shared" ref="U7:U11" si="2">T7*0.01</f>
        <v>0.002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6"/>
      <c r="O8" s="3"/>
      <c r="P8" s="3"/>
      <c r="Q8" s="3"/>
      <c r="R8" s="3"/>
      <c r="S8" s="8" t="s">
        <v>26</v>
      </c>
      <c r="T8" s="3">
        <f>30.1-21</f>
        <v>9.1</v>
      </c>
      <c r="U8" s="6">
        <f t="shared" si="2"/>
        <v>0.091</v>
      </c>
      <c r="V8" s="6"/>
      <c r="W8" s="6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>
      <c r="A9" s="3"/>
      <c r="B9" s="6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8" t="s">
        <v>27</v>
      </c>
      <c r="T9" s="6">
        <v>7.0</v>
      </c>
      <c r="U9" s="6">
        <f t="shared" si="2"/>
        <v>0.07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>
      <c r="A10" s="6"/>
      <c r="B10" s="6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8" t="s">
        <v>28</v>
      </c>
      <c r="T10" s="6">
        <v>3.6</v>
      </c>
      <c r="U10" s="6">
        <f t="shared" si="2"/>
        <v>0.036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>
      <c r="A11" s="6"/>
      <c r="B11" s="6"/>
      <c r="C11" s="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8" t="s">
        <v>29</v>
      </c>
      <c r="T11" s="6">
        <v>3.8</v>
      </c>
      <c r="U11" s="6">
        <f t="shared" si="2"/>
        <v>0.038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>
      <c r="A12" s="6"/>
      <c r="B12" s="6"/>
      <c r="C12" s="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>
      <c r="A14" s="6"/>
      <c r="B14" s="6" t="s">
        <v>30</v>
      </c>
      <c r="C14" s="7" t="s">
        <v>31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>
      <c r="A17" s="6" t="s">
        <v>32</v>
      </c>
      <c r="B17" s="6">
        <v>0.2</v>
      </c>
      <c r="C17" s="6" t="s">
        <v>23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>
      <c r="A18" s="6" t="s">
        <v>33</v>
      </c>
      <c r="B18" s="3">
        <f>30.1-21</f>
        <v>9.1</v>
      </c>
      <c r="C18" s="6" t="s">
        <v>23</v>
      </c>
      <c r="D18" s="6" t="s">
        <v>34</v>
      </c>
      <c r="E18" s="6">
        <v>4.6</v>
      </c>
      <c r="F18" s="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>
      <c r="A19" s="6" t="s">
        <v>35</v>
      </c>
      <c r="B19" s="6">
        <v>7.0</v>
      </c>
      <c r="C19" s="6" t="s">
        <v>23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>
      <c r="A20" s="6" t="s">
        <v>36</v>
      </c>
      <c r="B20" s="6">
        <v>3.6</v>
      </c>
      <c r="C20" s="6" t="s">
        <v>23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>
      <c r="A21" s="6" t="s">
        <v>37</v>
      </c>
      <c r="B21" s="6">
        <v>3.8</v>
      </c>
      <c r="C21" s="6" t="s">
        <v>23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>
      <c r="A22" s="3"/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>
      <c r="A23" s="10" t="s">
        <v>18</v>
      </c>
      <c r="B23" s="3">
        <f>B20*B21</f>
        <v>13.68</v>
      </c>
      <c r="C23" s="6" t="s">
        <v>38</v>
      </c>
      <c r="D23" s="3">
        <f>B20*B17+B21*E22</f>
        <v>0.72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>
      <c r="A24" s="10" t="s">
        <v>39</v>
      </c>
      <c r="B24" s="3">
        <f>B18+2*B19</f>
        <v>23.1</v>
      </c>
      <c r="C24" s="6" t="s">
        <v>23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16.0"/>
  </cols>
  <sheetData>
    <row r="1">
      <c r="A1" s="11">
        <v>1.0</v>
      </c>
      <c r="B1" s="11" t="s">
        <v>40</v>
      </c>
    </row>
    <row r="2">
      <c r="A2" s="12" t="s">
        <v>41</v>
      </c>
      <c r="B2" s="12" t="s">
        <v>42</v>
      </c>
      <c r="C2" s="12" t="s">
        <v>43</v>
      </c>
      <c r="D2" s="13" t="s">
        <v>44</v>
      </c>
      <c r="E2" s="13" t="s">
        <v>45</v>
      </c>
      <c r="F2" s="13" t="s">
        <v>46</v>
      </c>
      <c r="G2" s="13" t="s">
        <v>47</v>
      </c>
      <c r="H2" s="13" t="s">
        <v>48</v>
      </c>
      <c r="I2" s="14" t="s">
        <v>49</v>
      </c>
      <c r="J2" s="14" t="s">
        <v>50</v>
      </c>
      <c r="K2" s="14" t="s">
        <v>51</v>
      </c>
      <c r="L2" s="14" t="s">
        <v>52</v>
      </c>
      <c r="M2" s="14" t="s">
        <v>53</v>
      </c>
      <c r="N2" s="14" t="s">
        <v>54</v>
      </c>
    </row>
    <row r="3">
      <c r="A3" s="15">
        <v>219.818514</v>
      </c>
      <c r="B3" s="15">
        <v>0.938419296</v>
      </c>
      <c r="C3" s="15">
        <v>51.68464</v>
      </c>
      <c r="D3" s="16">
        <f>SQRT(A3*A3+B3*B3-2*C3)</f>
        <v>219.5852692</v>
      </c>
      <c r="E3" s="16">
        <f>B3/10</f>
        <v>0.0938419296</v>
      </c>
      <c r="F3" s="15">
        <v>19.1402499</v>
      </c>
      <c r="G3" s="16">
        <f>(C3-B3*B3)/10</f>
        <v>5.080400922</v>
      </c>
      <c r="H3" s="16">
        <f>C4/10</f>
        <v>0.410181372</v>
      </c>
      <c r="I3" s="16">
        <f>G3/(E3*E3)-K3</f>
        <v>52.68905424</v>
      </c>
      <c r="J3" s="16">
        <f>-L3/$Q$6*N3+1/$Q$6*(SQRT(D3*D3/(E3*E3)-(I3+K3)^2))</f>
        <v>0.1046208925</v>
      </c>
      <c r="K3" s="16">
        <f>H3/(E3*E3)*$O$6/$P$6</f>
        <v>524.2157129</v>
      </c>
      <c r="L3" s="16">
        <f>F3/E3*$O$6/$P$6</f>
        <v>2295.507066</v>
      </c>
      <c r="M3" s="15">
        <f>K3/L3</f>
        <v>0.2283659766</v>
      </c>
      <c r="N3" s="16">
        <f>COS(ASIN(M3))</f>
        <v>0.9735753596</v>
      </c>
    </row>
    <row r="4">
      <c r="A4" s="15">
        <v>19.1402499</v>
      </c>
      <c r="B4" s="15">
        <v>0.897022657</v>
      </c>
      <c r="C4" s="15">
        <v>4.10181372</v>
      </c>
    </row>
    <row r="5">
      <c r="O5" s="15" t="s">
        <v>55</v>
      </c>
      <c r="P5" s="15" t="s">
        <v>56</v>
      </c>
      <c r="Q5" s="15" t="s">
        <v>57</v>
      </c>
      <c r="R5" s="15" t="s">
        <v>58</v>
      </c>
    </row>
    <row r="6">
      <c r="A6" s="11">
        <v>1.0</v>
      </c>
      <c r="B6" s="11" t="s">
        <v>13</v>
      </c>
      <c r="O6" s="15">
        <v>619.0</v>
      </c>
      <c r="P6" s="15">
        <v>55.0</v>
      </c>
      <c r="Q6" s="16">
        <f>50*2*PI()</f>
        <v>314.1592654</v>
      </c>
      <c r="R6" s="15">
        <v>10.0</v>
      </c>
    </row>
    <row r="7">
      <c r="A7" s="12" t="s">
        <v>41</v>
      </c>
      <c r="B7" s="12" t="s">
        <v>42</v>
      </c>
      <c r="C7" s="12" t="s">
        <v>43</v>
      </c>
      <c r="D7" s="13" t="s">
        <v>59</v>
      </c>
      <c r="E7" s="13" t="s">
        <v>60</v>
      </c>
      <c r="F7" s="13" t="s">
        <v>44</v>
      </c>
      <c r="G7" s="13" t="s">
        <v>61</v>
      </c>
      <c r="H7" s="13" t="s">
        <v>62</v>
      </c>
      <c r="I7" s="14" t="s">
        <v>63</v>
      </c>
      <c r="J7" s="14" t="s">
        <v>64</v>
      </c>
      <c r="K7" s="14" t="s">
        <v>51</v>
      </c>
      <c r="L7" s="14" t="s">
        <v>52</v>
      </c>
      <c r="M7" s="14" t="s">
        <v>53</v>
      </c>
      <c r="N7" s="14" t="s">
        <v>54</v>
      </c>
    </row>
    <row r="8">
      <c r="A8" s="15">
        <v>25.9336308</v>
      </c>
      <c r="B8" s="15">
        <v>11.4826761</v>
      </c>
      <c r="C8" s="15">
        <v>188.740578</v>
      </c>
      <c r="D8" s="16">
        <f>SQRT(A8*A8+B8*B8-2*C8)</f>
        <v>20.66213689</v>
      </c>
      <c r="E8" s="16">
        <f>B8/10</f>
        <v>1.14826761</v>
      </c>
      <c r="F8" s="15">
        <v>232.64355</v>
      </c>
      <c r="G8" s="16">
        <f>(C8-B8*B8)/10</f>
        <v>5.688872758</v>
      </c>
      <c r="H8" s="16">
        <f>C9/10</f>
        <v>60.6536396</v>
      </c>
      <c r="I8" s="16">
        <f>G8/(E8*E8*($P$6/$O$6)*($P$6/$O$6))-K8</f>
        <v>28.7828715</v>
      </c>
      <c r="J8" s="16">
        <f>-L8/$Q$6*N8+1/$Q$6*(SQRT(D8*D8/(E8*E8)*($O$6/$P$6)^4-(I8+K8)^2))</f>
        <v>-0.02522046253</v>
      </c>
      <c r="K8" s="16">
        <f>H8/(E8*E8)*$O$6/$P$6</f>
        <v>517.7243563</v>
      </c>
      <c r="L8" s="16">
        <f>F8/E8*$O$6/$P$6</f>
        <v>2280.215331</v>
      </c>
      <c r="M8" s="15">
        <f>K8/L8</f>
        <v>0.2270506427</v>
      </c>
      <c r="N8" s="16">
        <f>COS(ASIN(M8))</f>
        <v>0.9738829528</v>
      </c>
    </row>
    <row r="9">
      <c r="A9" s="15">
        <v>232.64355</v>
      </c>
      <c r="B9" s="15">
        <v>11.46831</v>
      </c>
      <c r="C9" s="15">
        <v>606.536396</v>
      </c>
    </row>
    <row r="11">
      <c r="A11" s="11">
        <v>2.0</v>
      </c>
      <c r="B11" s="11" t="s">
        <v>40</v>
      </c>
    </row>
    <row r="12">
      <c r="A12" s="12" t="s">
        <v>41</v>
      </c>
      <c r="B12" s="12" t="s">
        <v>42</v>
      </c>
      <c r="C12" s="12" t="s">
        <v>43</v>
      </c>
      <c r="D12" s="13" t="s">
        <v>44</v>
      </c>
      <c r="E12" s="13" t="s">
        <v>65</v>
      </c>
      <c r="F12" s="13" t="s">
        <v>66</v>
      </c>
      <c r="G12" s="14" t="s">
        <v>67</v>
      </c>
      <c r="H12" s="14" t="s">
        <v>68</v>
      </c>
    </row>
    <row r="13">
      <c r="A13" s="15">
        <v>25.9924978</v>
      </c>
      <c r="B13" s="15">
        <v>0.972753098</v>
      </c>
      <c r="C13" s="15">
        <v>24.8484621</v>
      </c>
      <c r="D13" s="16">
        <f>SQRT(A13*A13+B13*B13-2*C13)</f>
        <v>25.03715771</v>
      </c>
      <c r="E13" s="16">
        <f>B13/1</f>
        <v>0.972753098</v>
      </c>
      <c r="F13" s="16">
        <f>(C13-B13*B13)/1</f>
        <v>23.90221351</v>
      </c>
      <c r="G13" s="16">
        <f>F13/(E13*E13)</f>
        <v>25.25997267</v>
      </c>
      <c r="H13" s="16">
        <f>1/$Q$6*SQRT(D13*D13/(E13*E13)-G13*G13)</f>
        <v>0.01572387312</v>
      </c>
      <c r="J13" s="15" t="s">
        <v>69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9" max="9" width="18.14"/>
    <col customWidth="1" min="18" max="18" width="24.86"/>
    <col customWidth="1" min="19" max="19" width="16.0"/>
  </cols>
  <sheetData>
    <row r="1">
      <c r="B1" s="1">
        <v>1.0</v>
      </c>
      <c r="C1" s="1" t="s">
        <v>40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>
      <c r="A2" s="1"/>
      <c r="B2" s="17" t="s">
        <v>70</v>
      </c>
      <c r="C2" s="18" t="s">
        <v>6</v>
      </c>
      <c r="D2" s="17" t="s">
        <v>71</v>
      </c>
      <c r="E2" s="18" t="s">
        <v>6</v>
      </c>
      <c r="F2" s="17" t="s">
        <v>72</v>
      </c>
      <c r="G2" s="18" t="s">
        <v>6</v>
      </c>
      <c r="H2" s="19" t="s">
        <v>44</v>
      </c>
      <c r="I2" s="18" t="s">
        <v>6</v>
      </c>
      <c r="J2" s="7" t="s">
        <v>58</v>
      </c>
      <c r="K2" s="18" t="s">
        <v>6</v>
      </c>
      <c r="L2" s="19" t="s">
        <v>65</v>
      </c>
      <c r="M2" s="18" t="s">
        <v>6</v>
      </c>
      <c r="N2" s="19" t="s">
        <v>59</v>
      </c>
      <c r="O2" s="18" t="s">
        <v>6</v>
      </c>
      <c r="P2" s="19" t="s">
        <v>66</v>
      </c>
      <c r="Q2" s="18" t="s">
        <v>6</v>
      </c>
      <c r="R2" s="19" t="s">
        <v>48</v>
      </c>
      <c r="S2" s="18" t="s">
        <v>6</v>
      </c>
      <c r="T2" s="20" t="s">
        <v>49</v>
      </c>
      <c r="U2" s="18" t="s">
        <v>6</v>
      </c>
      <c r="V2" s="20" t="s">
        <v>51</v>
      </c>
      <c r="W2" s="18" t="s">
        <v>6</v>
      </c>
      <c r="X2" s="20" t="s">
        <v>73</v>
      </c>
      <c r="Y2" s="18" t="s">
        <v>6</v>
      </c>
      <c r="Z2" s="20" t="s">
        <v>74</v>
      </c>
      <c r="AA2" s="18" t="s">
        <v>6</v>
      </c>
      <c r="AB2" s="20" t="s">
        <v>75</v>
      </c>
      <c r="AC2" s="18" t="s">
        <v>6</v>
      </c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>
      <c r="A3" s="6" t="s">
        <v>76</v>
      </c>
      <c r="B3" s="6">
        <v>219.818514</v>
      </c>
      <c r="C3" s="6">
        <v>0.01</v>
      </c>
      <c r="D3" s="6">
        <v>0.938419296</v>
      </c>
      <c r="E3" s="6">
        <v>0.01</v>
      </c>
      <c r="F3" s="6">
        <v>51.68464</v>
      </c>
      <c r="G3" s="6">
        <v>0.01</v>
      </c>
      <c r="H3" s="3">
        <f>SQRT(B3^2+D3^2-2*F3)</f>
        <v>219.5852692</v>
      </c>
      <c r="I3" s="3">
        <f>(B3/SQRT(B3^2+D3^2-2*F3))*C3+(D3/SQRT(B3^2+D3^2-2*F3))*E3+(1/SQRT(B3^2+D3^2-2*F3))*G3</f>
        <v>0.01009889844</v>
      </c>
      <c r="J3" s="6">
        <v>10.0</v>
      </c>
      <c r="K3" s="6">
        <v>0.0</v>
      </c>
      <c r="L3" s="3">
        <f>D3/J3</f>
        <v>0.0938419296</v>
      </c>
      <c r="M3" s="3">
        <f>(1/J3)*I3+(H3/J3^2)*K3</f>
        <v>0.001009889844</v>
      </c>
      <c r="N3" s="6">
        <f t="shared" ref="N3:O3" si="1">B4</f>
        <v>19.1402499</v>
      </c>
      <c r="O3" s="6">
        <f t="shared" si="1"/>
        <v>0.01</v>
      </c>
      <c r="P3" s="3">
        <f>(F3-D3^2)/J3</f>
        <v>5.080400922</v>
      </c>
      <c r="Q3" s="3">
        <f>(1/J3)*G3+(2*D3/J3)*E3+(ABS(F3-D3^2)/J3^2)*K3</f>
        <v>0.002876838592</v>
      </c>
      <c r="R3" s="3">
        <f>F4/J3</f>
        <v>0.410181372</v>
      </c>
      <c r="S3" s="3">
        <f>G4/J3</f>
        <v>0.001</v>
      </c>
      <c r="T3" s="3">
        <f>P3/(L3^2)-V3</f>
        <v>52.68905424</v>
      </c>
      <c r="U3" s="3">
        <f>(1/L3^2)*Q3+((2*P3)/(L3^3))*M3+W3</f>
        <v>35.68240766</v>
      </c>
      <c r="V3" s="3">
        <f>R3/(L3^2)*($AE$6/$AG$6)</f>
        <v>524.2157129</v>
      </c>
      <c r="W3" s="3">
        <f>(R3/($AG$6*L3^2))*$AF$6+($AE$6/($AG$6*L3^2))*S3+(($AE$6*R3)/($AG$6^2*L3^2))*$AH$6+((2*$AE$6*R3)/($AG$6*L3^3))*M3</f>
        <v>22.93888508</v>
      </c>
      <c r="X3" s="3">
        <f>(N3*$AE$6)/($AI$6*L3*$AG$6)</f>
        <v>7.30682593</v>
      </c>
      <c r="Y3" s="3">
        <f>($AE$6/($AI$6*L3*$AG$6))*O3+(N3/($AI$6*L3*$AG$6))*$AF$6+((N3*$AE$6)/($AI$6^2*L3*$AG$6))*$AJ$6+((N3*$AE$6)/($AI$6*L3^2*$AG$6))*M3+((N3*$AE$6)/($AI$6*L3*$AG$6^2))*$AH$6</f>
        <v>0.3732428395</v>
      </c>
      <c r="Z3" s="3">
        <f>SQRT(X3^2-V3^2/$AI$6^2)</f>
        <v>7.113745682</v>
      </c>
      <c r="AA3" s="3">
        <f>(X3/SQRT(X3^2-V3^2/$AI$6^2))*Y3+(V3/($AI$6^2*SQRT(X3^2-V3^2/$AI$6^2)))*W3+(V3^2/($AI$6^3*SQRT(X3^2-V3^2/$AI$6^2)))*$AJ$6</f>
        <v>0.40832848</v>
      </c>
      <c r="AB3" s="3">
        <f>(1/$AI$6)*SQRT((H3/L3)^2-(T3+V3)^2)-Z3</f>
        <v>0.1046208925</v>
      </c>
      <c r="AC3" s="3">
        <f>(H3/(L3*$AI$6))*(1/SQRT((H3/L3)^2-(T3+V3)^2))*I3+(H3^2/(L3^3*$AI$6))*1/SQRT((H3/L3)^2-(T3+V3)^2)*M3+((T3+V3)/$AI$6)*(1/SQRT((H3/L3)^2-(T3+V3)^2))*U3+((T3+V3)/$AI$6)*(1/SQRT((H3/L3)^2-(T3+V3)^2))*W3+AA3</f>
        <v>0.5385404776</v>
      </c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>
      <c r="A4" s="6" t="s">
        <v>77</v>
      </c>
      <c r="B4" s="6">
        <v>19.1402499</v>
      </c>
      <c r="C4" s="6">
        <v>0.01</v>
      </c>
      <c r="D4" s="6">
        <v>0.897022657</v>
      </c>
      <c r="E4" s="6">
        <v>0.01</v>
      </c>
      <c r="F4" s="6">
        <v>4.10181372</v>
      </c>
      <c r="G4" s="6">
        <v>0.01</v>
      </c>
      <c r="H4" s="3"/>
      <c r="I4" s="3"/>
      <c r="J4" s="3"/>
      <c r="K4" s="3"/>
      <c r="L4" s="3"/>
      <c r="M4" s="3"/>
      <c r="N4" s="3"/>
      <c r="O4" s="3"/>
      <c r="P4" s="3"/>
      <c r="Q4" s="3"/>
      <c r="R4" s="6"/>
      <c r="S4" s="3"/>
      <c r="T4" s="3"/>
      <c r="U4" s="6"/>
      <c r="V4" s="3"/>
      <c r="W4" s="6"/>
      <c r="X4" s="3"/>
      <c r="Y4" s="3"/>
      <c r="Z4" s="3"/>
      <c r="AA4" s="3"/>
      <c r="AB4" s="3"/>
      <c r="AC4" s="6"/>
      <c r="AD4" s="3"/>
      <c r="AE4" s="6" t="s">
        <v>78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>
      <c r="A5" s="3"/>
      <c r="B5" s="3"/>
      <c r="C5" s="3"/>
      <c r="D5" s="6" t="s">
        <v>79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6"/>
      <c r="AA5" s="3"/>
      <c r="AB5" s="3"/>
      <c r="AC5" s="3"/>
      <c r="AD5" s="6"/>
      <c r="AE5" s="7" t="s">
        <v>8</v>
      </c>
      <c r="AF5" s="18" t="s">
        <v>6</v>
      </c>
      <c r="AG5" s="7" t="s">
        <v>9</v>
      </c>
      <c r="AH5" s="18" t="s">
        <v>6</v>
      </c>
      <c r="AI5" s="7" t="s">
        <v>57</v>
      </c>
      <c r="AJ5" s="18" t="s">
        <v>6</v>
      </c>
      <c r="AK5" s="6"/>
      <c r="AL5" s="6"/>
      <c r="AM5" s="3"/>
      <c r="AN5" s="3"/>
      <c r="AO5" s="3"/>
      <c r="AP5" s="3"/>
      <c r="AQ5" s="3"/>
      <c r="AR5" s="3"/>
      <c r="AS5" s="3"/>
    </row>
    <row r="6">
      <c r="A6" s="1"/>
      <c r="B6" s="1">
        <v>1.0</v>
      </c>
      <c r="C6" s="1" t="s">
        <v>13</v>
      </c>
      <c r="D6" s="1"/>
      <c r="E6" s="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6"/>
      <c r="AE6" s="6">
        <v>619.0</v>
      </c>
      <c r="AF6" s="6">
        <v>1.0</v>
      </c>
      <c r="AG6" s="6">
        <v>55.0</v>
      </c>
      <c r="AH6" s="6">
        <v>1.0</v>
      </c>
      <c r="AI6" s="3">
        <f>50*2*PI()</f>
        <v>314.1592654</v>
      </c>
      <c r="AJ6" s="3">
        <f t="shared" ref="AJ6:AJ7" si="2">1*2*PI()</f>
        <v>6.283185307</v>
      </c>
      <c r="AK6" s="6"/>
      <c r="AL6" s="6"/>
      <c r="AM6" s="3"/>
      <c r="AN6" s="3"/>
      <c r="AO6" s="3"/>
      <c r="AP6" s="3"/>
      <c r="AQ6" s="3"/>
      <c r="AR6" s="3"/>
      <c r="AS6" s="3"/>
    </row>
    <row r="7">
      <c r="A7" s="6"/>
      <c r="B7" s="17" t="s">
        <v>70</v>
      </c>
      <c r="C7" s="18" t="s">
        <v>6</v>
      </c>
      <c r="D7" s="17" t="s">
        <v>71</v>
      </c>
      <c r="E7" s="18" t="s">
        <v>6</v>
      </c>
      <c r="F7" s="17" t="s">
        <v>72</v>
      </c>
      <c r="G7" s="18" t="s">
        <v>6</v>
      </c>
      <c r="H7" s="19" t="s">
        <v>59</v>
      </c>
      <c r="I7" s="18" t="s">
        <v>6</v>
      </c>
      <c r="J7" s="7" t="s">
        <v>58</v>
      </c>
      <c r="K7" s="18" t="s">
        <v>6</v>
      </c>
      <c r="L7" s="19" t="s">
        <v>60</v>
      </c>
      <c r="M7" s="18" t="s">
        <v>6</v>
      </c>
      <c r="N7" s="19" t="s">
        <v>44</v>
      </c>
      <c r="O7" s="18" t="s">
        <v>6</v>
      </c>
      <c r="P7" s="19" t="s">
        <v>61</v>
      </c>
      <c r="Q7" s="18" t="s">
        <v>6</v>
      </c>
      <c r="R7" s="19" t="s">
        <v>62</v>
      </c>
      <c r="S7" s="18" t="s">
        <v>6</v>
      </c>
      <c r="T7" s="20" t="s">
        <v>63</v>
      </c>
      <c r="U7" s="18" t="s">
        <v>6</v>
      </c>
      <c r="V7" s="20" t="s">
        <v>51</v>
      </c>
      <c r="W7" s="18" t="s">
        <v>6</v>
      </c>
      <c r="X7" s="20" t="s">
        <v>73</v>
      </c>
      <c r="Y7" s="18" t="s">
        <v>6</v>
      </c>
      <c r="Z7" s="20" t="s">
        <v>74</v>
      </c>
      <c r="AA7" s="18" t="s">
        <v>6</v>
      </c>
      <c r="AB7" s="20" t="s">
        <v>80</v>
      </c>
      <c r="AC7" s="18" t="s">
        <v>6</v>
      </c>
      <c r="AD7" s="3"/>
      <c r="AE7" s="3"/>
      <c r="AF7" s="3"/>
      <c r="AG7" s="3"/>
      <c r="AH7" s="3"/>
      <c r="AI7" s="3">
        <f>49.7*2*PI()</f>
        <v>312.2743098</v>
      </c>
      <c r="AJ7" s="3">
        <f t="shared" si="2"/>
        <v>6.283185307</v>
      </c>
      <c r="AK7" s="3"/>
      <c r="AL7" s="3"/>
      <c r="AM7" s="3"/>
      <c r="AN7" s="3"/>
      <c r="AO7" s="3"/>
      <c r="AP7" s="3"/>
      <c r="AQ7" s="3"/>
      <c r="AR7" s="3"/>
      <c r="AS7" s="3"/>
    </row>
    <row r="8">
      <c r="A8" s="6" t="s">
        <v>76</v>
      </c>
      <c r="B8" s="6">
        <v>25.9336308</v>
      </c>
      <c r="C8" s="6">
        <v>0.01</v>
      </c>
      <c r="D8" s="6">
        <v>11.4826761</v>
      </c>
      <c r="E8" s="6">
        <v>0.01</v>
      </c>
      <c r="F8" s="6">
        <v>188.740578</v>
      </c>
      <c r="G8" s="6">
        <v>0.01</v>
      </c>
      <c r="H8" s="3">
        <f>SQRT(B8^2+D8^2-2*F8)</f>
        <v>20.66213689</v>
      </c>
      <c r="I8" s="3">
        <f>(B8/SQRT(B8^2+D8^2-2*F8))*C8+(D8/SQRT(B8^2+D8^2-2*F8))*E8+(1/SQRT(B8^2+D8^2-2*F8))*G8</f>
        <v>0.01859261078</v>
      </c>
      <c r="J8" s="6">
        <v>10.0</v>
      </c>
      <c r="K8" s="6">
        <v>0.0</v>
      </c>
      <c r="L8" s="3">
        <f>D8/J8</f>
        <v>1.14826761</v>
      </c>
      <c r="M8" s="3">
        <f>(1/J8)*I8+(H8/J8^2)*K8</f>
        <v>0.001859261078</v>
      </c>
      <c r="N8" s="6">
        <f t="shared" ref="N8:O8" si="3">B9</f>
        <v>232.64355</v>
      </c>
      <c r="O8" s="3">
        <f t="shared" si="3"/>
        <v>0.01</v>
      </c>
      <c r="P8" s="3">
        <f>(F8-D8^2)/J8</f>
        <v>5.688872758</v>
      </c>
      <c r="Q8" s="3">
        <f>(1/J8)*G8+(2*D8/J8)*E8+(ABS(F8-D8^2)/J8^2)*K8</f>
        <v>0.0239653522</v>
      </c>
      <c r="R8" s="3">
        <f>F9/J8</f>
        <v>60.6536396</v>
      </c>
      <c r="S8" s="3">
        <f>G9/J8</f>
        <v>0.001</v>
      </c>
      <c r="T8" s="3">
        <f>(AE6/AG6)^2*(P8/(L8^2))-V8</f>
        <v>28.7828715</v>
      </c>
      <c r="U8" s="3">
        <f>((AE6^2)/(AG6^2*L8^2))*Q8+((2*AE6^2*P8)/(AG6^2*L8^3))*M8+((2*AE6*P8)/(AG6^2*L8^2))*AF6+((2*AE6^2*P8)/(AG6^3*L8^2))*AH6+W8</f>
        <v>37.64549617</v>
      </c>
      <c r="V8" s="3">
        <f>R8/(L8^2)*($AE$6/$AG$6)</f>
        <v>517.7243563</v>
      </c>
      <c r="W8" s="3">
        <f>(R8/($AG$6*L8^2))*$AF$6+($AE$6/($AG$6*L8^2))*S8+(($AE$6*R8)/($AG$6^2*L8^2))*$AH$6+((2*$AE$6*R8)/($AG$6*L8^3))*M8</f>
        <v>11.93468024</v>
      </c>
      <c r="X8" s="3">
        <f>(N8*$AE$6)/($AI$6*L8*$AG$6)</f>
        <v>7.258150824</v>
      </c>
      <c r="Y8" s="3">
        <f>($AE$6/($AI$6*L8*$AG$6))*O8+(N8/($AI$6*L8*$AG$6))*$AF$6+((N8*$AE$6)/($AI$6^2*L8*$AG$6))*$AJ$6+((N8*$AE$6)/($AI$6*L8^2*$AG$6))*M8+((N8*$AE$6)/($AI$6*L8*$AG$6^2))*$AH$6</f>
        <v>0.3009192985</v>
      </c>
      <c r="Z8" s="3">
        <f>SQRT(X8^2-V8^2/$AI$6^2)</f>
        <v>7.068589356</v>
      </c>
      <c r="AA8" s="3">
        <f>(X8/SQRT(X8^2-V8^2/$AI$6^2))*Y8+(V8/($AI$6^2*SQRT(X8^2-V8^2/$AI$6^2)))*W8+(V8^2/($AI$6^3*SQRT(X8^2-V8^2/$AI$6^2)))*$AJ$6</f>
        <v>0.3255301144</v>
      </c>
      <c r="AB8" s="3">
        <f>(1/AI7)*SQRT((H8/L8)^2*(AE6/AG6)^4-(T8+V8)^2)-Z8</f>
        <v>0.01729484267</v>
      </c>
      <c r="AC8" s="6">
        <v>0.08902593555080911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>
      <c r="A9" s="6" t="s">
        <v>77</v>
      </c>
      <c r="B9" s="6">
        <v>232.64355</v>
      </c>
      <c r="C9" s="6">
        <v>0.01</v>
      </c>
      <c r="D9" s="6">
        <v>11.46831</v>
      </c>
      <c r="E9" s="6">
        <v>0.01</v>
      </c>
      <c r="F9" s="6">
        <v>606.536396</v>
      </c>
      <c r="G9" s="6">
        <v>0.01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6"/>
      <c r="V9" s="3"/>
      <c r="W9" s="3"/>
      <c r="X9" s="3"/>
      <c r="Y9" s="3"/>
      <c r="Z9" s="3"/>
      <c r="AA9" s="3"/>
      <c r="AB9" s="6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>
      <c r="A10" s="3"/>
      <c r="B10" s="3"/>
      <c r="C10" s="3"/>
      <c r="D10" s="6" t="s">
        <v>79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6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>
      <c r="A11" s="1"/>
      <c r="B11" s="1">
        <v>2.0</v>
      </c>
      <c r="C11" s="1"/>
      <c r="D11" s="1"/>
      <c r="E11" s="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20" t="s">
        <v>67</v>
      </c>
      <c r="Y11" s="18" t="s">
        <v>6</v>
      </c>
      <c r="Z11" s="20" t="s">
        <v>81</v>
      </c>
      <c r="AA11" s="18" t="s">
        <v>6</v>
      </c>
      <c r="AB11" s="6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>
      <c r="A12" s="6"/>
      <c r="B12" s="17" t="s">
        <v>41</v>
      </c>
      <c r="C12" s="18" t="s">
        <v>6</v>
      </c>
      <c r="D12" s="17" t="s">
        <v>42</v>
      </c>
      <c r="E12" s="18" t="s">
        <v>6</v>
      </c>
      <c r="F12" s="17" t="s">
        <v>43</v>
      </c>
      <c r="G12" s="18" t="s">
        <v>6</v>
      </c>
      <c r="H12" s="19" t="s">
        <v>44</v>
      </c>
      <c r="I12" s="18" t="s">
        <v>6</v>
      </c>
      <c r="J12" s="7" t="s">
        <v>58</v>
      </c>
      <c r="K12" s="18" t="s">
        <v>6</v>
      </c>
      <c r="L12" s="19" t="s">
        <v>65</v>
      </c>
      <c r="M12" s="18" t="s">
        <v>6</v>
      </c>
      <c r="N12" s="19" t="s">
        <v>66</v>
      </c>
      <c r="O12" s="18" t="s">
        <v>6</v>
      </c>
      <c r="P12" s="20" t="s">
        <v>67</v>
      </c>
      <c r="Q12" s="18" t="s">
        <v>6</v>
      </c>
      <c r="R12" s="20" t="s">
        <v>81</v>
      </c>
      <c r="S12" s="18" t="s">
        <v>6</v>
      </c>
      <c r="T12" s="3"/>
      <c r="U12" s="6"/>
      <c r="V12" s="6"/>
      <c r="W12" s="6"/>
      <c r="X12" s="6">
        <f t="shared" ref="X12:Y12" si="4">T3+T8</f>
        <v>81.47192573</v>
      </c>
      <c r="Y12" s="6">
        <f t="shared" si="4"/>
        <v>73.32790383</v>
      </c>
      <c r="Z12" s="6">
        <f t="shared" ref="Z12:AA12" si="5">AB3+AB8</f>
        <v>0.1219157351</v>
      </c>
      <c r="AA12" s="3">
        <f t="shared" si="5"/>
        <v>0.6275664132</v>
      </c>
      <c r="AB12" s="3"/>
      <c r="AC12" s="21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>
      <c r="A13" s="6" t="s">
        <v>82</v>
      </c>
      <c r="B13" s="6">
        <v>25.9924978</v>
      </c>
      <c r="C13" s="6">
        <v>0.01</v>
      </c>
      <c r="D13" s="6">
        <v>0.972753098</v>
      </c>
      <c r="E13" s="6">
        <v>0.01</v>
      </c>
      <c r="F13" s="6">
        <v>24.8484621</v>
      </c>
      <c r="G13" s="6">
        <v>0.01</v>
      </c>
      <c r="H13" s="3">
        <f>SQRT(B13^2+D13^2-2*F13)</f>
        <v>25.03715771</v>
      </c>
      <c r="I13" s="3">
        <f>(B13/SQRT(B13^2+D13^2-2*F13))*C13+(D13/SQRT(B13^2+D13^2-2*F13))*E13+(1/SQRT(B13^2+D13^2-2*F13))*G13</f>
        <v>0.01116949904</v>
      </c>
      <c r="J13" s="6">
        <v>1.0</v>
      </c>
      <c r="K13" s="6">
        <v>0.0</v>
      </c>
      <c r="L13" s="3">
        <f>D13/J13</f>
        <v>0.972753098</v>
      </c>
      <c r="M13" s="3">
        <f>(1/J13)*I13+(H13/J13^2)*K13</f>
        <v>0.01116949904</v>
      </c>
      <c r="N13" s="3">
        <f>(F13-D13^2)/J13</f>
        <v>23.90221351</v>
      </c>
      <c r="O13" s="3">
        <f>(1/J13)*G13+(2*D13/J13)*E13+(ABS(F13-D13^2)/J13^2)*K13</f>
        <v>0.02945506196</v>
      </c>
      <c r="P13" s="3">
        <f>N13/L13^2</f>
        <v>25.25997267</v>
      </c>
      <c r="Q13" s="3">
        <f>(1/L13^2)*O13+((2*N13)/L13^3)*M13</f>
        <v>0.6112163332</v>
      </c>
      <c r="R13" s="3">
        <f>(1/AI6)*SQRT((H13/L13)^2-P13^2)</f>
        <v>0.01572387312</v>
      </c>
      <c r="S13" s="3">
        <f>(SQRT((H13/L13)^2-P13^2)/AI6^2)*AJ6+(H13/(L13^2*AI6*SQRT((H13/L13)^2-P13^2)))*I13+(H13^2/(L13^3*AI6*SQRT((H13/L13)^2-P13^2)))*M13+(P13/(AI6*SQRT((H13/L13)^2-P13^2)))*Q13</f>
        <v>0.0153552522</v>
      </c>
      <c r="T13" s="3"/>
      <c r="U13" s="3"/>
      <c r="V13" s="3"/>
      <c r="W13" s="3"/>
      <c r="X13" s="3"/>
      <c r="Y13" s="3"/>
      <c r="Z13" s="3"/>
      <c r="AA13" s="3"/>
      <c r="AB13" s="3"/>
      <c r="AC13" s="21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6"/>
      <c r="K14" s="3"/>
      <c r="L14" s="6"/>
      <c r="M14" s="3"/>
      <c r="N14" s="3"/>
      <c r="O14" s="3"/>
      <c r="P14" s="3"/>
      <c r="Q14" s="3"/>
      <c r="R14" s="3"/>
      <c r="S14" s="6" t="s">
        <v>22</v>
      </c>
      <c r="T14" s="3"/>
      <c r="U14" s="6"/>
      <c r="V14" s="3"/>
      <c r="W14" s="3"/>
      <c r="X14" s="3"/>
      <c r="Y14" s="3"/>
      <c r="Z14" s="3"/>
      <c r="AA14" s="3"/>
      <c r="AB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6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>
      <c r="A19" s="6" t="s">
        <v>83</v>
      </c>
      <c r="B19" s="6" t="s">
        <v>84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>
      <c r="A20" s="6" t="s">
        <v>85</v>
      </c>
      <c r="B20" s="6" t="s">
        <v>86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>
      <c r="A21" s="6" t="s">
        <v>87</v>
      </c>
      <c r="B21" s="3">
        <f>200/230</f>
        <v>0.8695652174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>
      <c r="A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51.57"/>
    <col customWidth="1" min="13" max="13" width="17.57"/>
  </cols>
  <sheetData>
    <row r="1">
      <c r="A1" s="8" t="s">
        <v>8</v>
      </c>
      <c r="B1" s="8" t="s">
        <v>9</v>
      </c>
      <c r="C1" s="8" t="s">
        <v>88</v>
      </c>
      <c r="D1" s="8" t="s">
        <v>89</v>
      </c>
      <c r="E1" s="3"/>
      <c r="F1" s="22" t="s">
        <v>90</v>
      </c>
      <c r="G1" s="18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6">
        <v>619.0</v>
      </c>
      <c r="B2" s="6">
        <v>55.0</v>
      </c>
      <c r="C2" s="6">
        <v>230.0</v>
      </c>
      <c r="D2" s="6">
        <v>200.0</v>
      </c>
      <c r="E2" s="3"/>
      <c r="F2" s="3">
        <f>(B2/A2)^2*(C2^2)/(0.8*D2)</f>
        <v>2.610235971</v>
      </c>
      <c r="G2" s="3">
        <f>((2*B2*C2^2)/(A2^2*0.8*D2))*B4+((2*B2^2*C2^2)/(A2^3*0.8*D2))*A4+((2*B2^2*C2)/(A2^2*0.8*D2))*C4+((B2^2*C2^2)/(A2^2*0.8*D2^2))*D4</f>
        <v>0.1033513905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23" t="s">
        <v>6</v>
      </c>
      <c r="B3" s="23" t="s">
        <v>6</v>
      </c>
      <c r="C3" s="23" t="s">
        <v>6</v>
      </c>
      <c r="D3" s="23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6">
        <v>1.0</v>
      </c>
      <c r="B4" s="6">
        <v>1.0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6" t="s">
        <v>91</v>
      </c>
      <c r="B7" s="6">
        <v>4.1</v>
      </c>
      <c r="C7" s="6" t="s">
        <v>6</v>
      </c>
      <c r="D7" s="6">
        <v>0.1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"/>
      <c r="B9" s="17" t="s">
        <v>70</v>
      </c>
      <c r="C9" s="18" t="s">
        <v>6</v>
      </c>
      <c r="D9" s="17" t="s">
        <v>71</v>
      </c>
      <c r="E9" s="18" t="s">
        <v>6</v>
      </c>
      <c r="F9" s="17" t="s">
        <v>72</v>
      </c>
      <c r="G9" s="18" t="s">
        <v>6</v>
      </c>
      <c r="H9" s="19" t="s">
        <v>44</v>
      </c>
      <c r="I9" s="18" t="s">
        <v>6</v>
      </c>
      <c r="J9" s="7" t="s">
        <v>58</v>
      </c>
      <c r="K9" s="18" t="s">
        <v>6</v>
      </c>
      <c r="L9" s="19" t="s">
        <v>65</v>
      </c>
      <c r="M9" s="18" t="s">
        <v>6</v>
      </c>
      <c r="N9" s="19" t="s">
        <v>59</v>
      </c>
      <c r="O9" s="18" t="s">
        <v>6</v>
      </c>
      <c r="P9" s="19" t="s">
        <v>66</v>
      </c>
      <c r="Q9" s="18" t="s">
        <v>6</v>
      </c>
      <c r="R9" s="19" t="s">
        <v>48</v>
      </c>
      <c r="S9" s="18" t="s">
        <v>6</v>
      </c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6" t="s">
        <v>77</v>
      </c>
      <c r="B10" s="6">
        <v>221.549274</v>
      </c>
      <c r="C10" s="6">
        <v>0.01</v>
      </c>
      <c r="D10" s="6">
        <v>0.490627677</v>
      </c>
      <c r="E10" s="6">
        <v>0.01</v>
      </c>
      <c r="F10" s="6">
        <v>103.703088</v>
      </c>
      <c r="G10" s="6">
        <v>0.01</v>
      </c>
      <c r="H10" s="3">
        <f>SQRT(B10^2+D10^2-2*F10)</f>
        <v>221.0812415</v>
      </c>
      <c r="I10" s="3">
        <f>(B10/SQRT(B10^2+D10^2-2*F10))*C10+(D10/SQRT(B10^2+D10^2-2*F10))*E10+(1/SQRT(B10^2+D10^2-2*F10))*G10</f>
        <v>0.01008859459</v>
      </c>
      <c r="J10" s="6">
        <v>1.0</v>
      </c>
      <c r="K10" s="6">
        <v>0.0</v>
      </c>
      <c r="L10" s="3">
        <f>D10/J10</f>
        <v>0.490627677</v>
      </c>
      <c r="M10" s="3">
        <f>(1/J10)*I10+(H10/J10^2)*K10</f>
        <v>0.01008859459</v>
      </c>
      <c r="N10" s="6">
        <f t="shared" ref="N10:O10" si="1">B11</f>
        <v>18.2190704</v>
      </c>
      <c r="O10" s="6">
        <f t="shared" si="1"/>
        <v>0.01</v>
      </c>
      <c r="P10" s="3">
        <f>(F10-D10^2)/J10</f>
        <v>103.4623725</v>
      </c>
      <c r="Q10" s="3">
        <f>(1/J10)*G10+(2*D10/J10)*E10+(ABS(F10-D10^2)/J10^2)*K10</f>
        <v>0.01981255354</v>
      </c>
      <c r="R10" s="3">
        <f>(F11-D11^2)/10</f>
        <v>0.05786028761</v>
      </c>
      <c r="S10" s="3">
        <f>(1/J10)*G11+((2*D11)/J10)*E11+(ABS(F11-D11^2)/J10^2)*K10</f>
        <v>0.02015355768</v>
      </c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6" t="s">
        <v>76</v>
      </c>
      <c r="B11" s="6">
        <v>18.2190704</v>
      </c>
      <c r="C11" s="6">
        <v>0.01</v>
      </c>
      <c r="D11" s="6">
        <v>0.507677884</v>
      </c>
      <c r="E11" s="6">
        <v>0.01</v>
      </c>
      <c r="F11" s="6">
        <v>0.83633971</v>
      </c>
      <c r="G11" s="6">
        <v>0.01</v>
      </c>
      <c r="H11" s="3"/>
      <c r="I11" s="3"/>
      <c r="J11" s="3"/>
      <c r="K11" s="3"/>
      <c r="L11" s="19" t="s">
        <v>60</v>
      </c>
      <c r="M11" s="18" t="s">
        <v>6</v>
      </c>
      <c r="N11" s="3"/>
      <c r="O11" s="3"/>
      <c r="P11" s="3"/>
      <c r="Q11" s="3"/>
      <c r="R11" s="6" t="s">
        <v>22</v>
      </c>
      <c r="S11" s="3"/>
      <c r="T11" s="3"/>
      <c r="U11" s="6"/>
      <c r="V11" s="3"/>
      <c r="W11" s="6"/>
      <c r="X11" s="3"/>
      <c r="Y11" s="3"/>
      <c r="Z11" s="3"/>
      <c r="AA11" s="3"/>
      <c r="AB11" s="3"/>
      <c r="AC11" s="6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>
        <f>N10/B7</f>
        <v>4.443675707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6" t="s">
        <v>5</v>
      </c>
      <c r="B13" s="6">
        <v>220.8</v>
      </c>
      <c r="C13" s="6">
        <v>0.1</v>
      </c>
      <c r="D13" s="6">
        <v>220.7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6" t="s">
        <v>7</v>
      </c>
      <c r="B14" s="6">
        <v>17.89</v>
      </c>
      <c r="C14" s="6">
        <v>0.01</v>
      </c>
      <c r="D14" s="6">
        <v>18.12</v>
      </c>
      <c r="E14" s="3"/>
      <c r="F14" s="3"/>
      <c r="G14" s="3"/>
      <c r="H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20" t="s">
        <v>92</v>
      </c>
      <c r="L15" s="18" t="s">
        <v>6</v>
      </c>
      <c r="M15" s="20" t="s">
        <v>93</v>
      </c>
      <c r="N15" s="18" t="s">
        <v>6</v>
      </c>
      <c r="O15" s="20" t="s">
        <v>94</v>
      </c>
      <c r="P15" s="18" t="s">
        <v>6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7" t="s">
        <v>95</v>
      </c>
      <c r="K16" s="3">
        <f>H10/N10</f>
        <v>12.13460603</v>
      </c>
      <c r="L16" s="3"/>
      <c r="M16" s="3">
        <f>L12/L10</f>
        <v>9.057123998</v>
      </c>
      <c r="N16" s="3"/>
      <c r="O16" s="3">
        <f>K16*M16</f>
        <v>109.9046315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6" t="s">
        <v>96</v>
      </c>
      <c r="B17" s="3">
        <f>(A20*A20/C20)/((E20-G20*G20)/D20)</f>
        <v>0.7844902467</v>
      </c>
      <c r="C17" s="3"/>
      <c r="D17" s="3"/>
      <c r="E17" s="3"/>
      <c r="F17" s="3"/>
      <c r="G17" s="3"/>
      <c r="H17" s="3"/>
      <c r="I17" s="3"/>
      <c r="J17" s="7" t="s">
        <v>97</v>
      </c>
      <c r="K17" s="3">
        <f>A2/B2</f>
        <v>11.25454545</v>
      </c>
      <c r="L17" s="3"/>
      <c r="M17" s="3">
        <f>A2/B2</f>
        <v>11.25454545</v>
      </c>
      <c r="N17" s="3"/>
      <c r="O17" s="3">
        <f>(A2/B2)^2</f>
        <v>126.6647934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6"/>
      <c r="B18" s="6"/>
      <c r="C18" s="6"/>
      <c r="D18" s="6"/>
      <c r="E18" s="6"/>
      <c r="F18" s="6"/>
      <c r="G18" s="6"/>
      <c r="H18" s="6"/>
      <c r="I18" s="3"/>
      <c r="J18" s="18" t="s">
        <v>98</v>
      </c>
      <c r="K18" s="24">
        <f>(K16-$K$17)/$K$17</f>
        <v>0.07819601225</v>
      </c>
      <c r="L18" s="3"/>
      <c r="M18" s="24">
        <f>(M16-$M$17)/$M$17</f>
        <v>-0.1952474639</v>
      </c>
      <c r="N18" s="3"/>
      <c r="O18" s="24">
        <f>(O16-O17)/O17</f>
        <v>-0.1323190247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6" t="s">
        <v>99</v>
      </c>
      <c r="B19" s="6" t="s">
        <v>100</v>
      </c>
      <c r="C19" s="6" t="s">
        <v>101</v>
      </c>
      <c r="D19" s="6" t="s">
        <v>58</v>
      </c>
      <c r="E19" s="6" t="s">
        <v>66</v>
      </c>
      <c r="F19" s="6" t="s">
        <v>102</v>
      </c>
      <c r="G19" s="6" t="s">
        <v>103</v>
      </c>
      <c r="H19" s="6" t="s">
        <v>104</v>
      </c>
      <c r="I19" s="3"/>
      <c r="J19" s="7" t="s">
        <v>105</v>
      </c>
      <c r="K19" s="3">
        <f>(A2/B2)*IMABS(IMSUM(1,IMDIV(E25,E29),IMPRODUCT((1/B7)*(B2/A2)^2,IMSUM(E25,E27,IMDIV(IMPRODUCT(E25,E27),E29)))))</f>
        <v>14.22130615</v>
      </c>
      <c r="L19" s="3"/>
      <c r="M19" s="3" t="str">
        <f>IMDIV(1,(B2/A2)*IMABS(IMSUM(1,IMPRODUCT(IMDIV(1,E29),IMSUM(E27,B7*(A2/B2)^2)))))</f>
        <v>5.48481156282916</v>
      </c>
      <c r="N19" s="3"/>
      <c r="O19" s="3">
        <f>(A2/B2)^2*IMABS(IMDIV(IMSUM(1,IMDIV(E25,E29),IMPRODUCT((1/B7),(B2/A2)^2,IMSUM(E25,E27,IMDIV(IMPRODUCT(E25,E27),E29)))),IMSUM(1,IMPRODUCT(IMDIV(1,E29),IMSUM(E27,IMPRODUCT(B7,(A2/B2)^2))))))</f>
        <v>78.0011844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6">
        <v>18.22</v>
      </c>
      <c r="B20" s="6">
        <v>0.01</v>
      </c>
      <c r="C20" s="6">
        <v>4.1</v>
      </c>
      <c r="D20" s="6">
        <v>1.0</v>
      </c>
      <c r="E20" s="6">
        <v>103.46</v>
      </c>
      <c r="F20" s="6">
        <v>0.02</v>
      </c>
      <c r="G20" s="3">
        <f>(D10+D11)/2</f>
        <v>0.4991527805</v>
      </c>
      <c r="H20" s="6">
        <v>0.01</v>
      </c>
      <c r="I20" s="3"/>
      <c r="J20" s="18" t="s">
        <v>98</v>
      </c>
      <c r="K20" s="24">
        <f>(K16-K19)/K19</f>
        <v>-0.1467305533</v>
      </c>
      <c r="L20" s="3"/>
      <c r="M20" s="24">
        <f>(M16-M19)/M19</f>
        <v>0.6513099664</v>
      </c>
      <c r="N20" s="3"/>
      <c r="O20" s="24">
        <f>(O16-O19)/O19</f>
        <v>0.4090123415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6" t="s">
        <v>106</v>
      </c>
      <c r="B23" s="3"/>
      <c r="C23" s="3"/>
      <c r="D23" s="3"/>
      <c r="E23" s="3"/>
      <c r="F23" s="3"/>
      <c r="G23" s="3"/>
      <c r="H23" s="3"/>
      <c r="I23" s="3"/>
      <c r="J23" s="6" t="s">
        <v>107</v>
      </c>
      <c r="K23" s="6" t="s">
        <v>97</v>
      </c>
      <c r="L23" s="6" t="s">
        <v>108</v>
      </c>
      <c r="M23" s="6" t="s">
        <v>6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17" t="s">
        <v>49</v>
      </c>
      <c r="B24" s="18" t="s">
        <v>6</v>
      </c>
      <c r="C24" s="17" t="s">
        <v>75</v>
      </c>
      <c r="D24" s="18" t="s">
        <v>6</v>
      </c>
      <c r="E24" s="17" t="s">
        <v>109</v>
      </c>
      <c r="F24" s="6" t="s">
        <v>110</v>
      </c>
      <c r="G24" s="3"/>
      <c r="H24" s="3"/>
      <c r="I24" s="3"/>
      <c r="J24" s="3"/>
      <c r="K24" s="25">
        <v>1.0</v>
      </c>
      <c r="L24" s="24">
        <f>(N10*L12)/(H10*L10)</f>
        <v>0.7463879731</v>
      </c>
      <c r="M24" s="24">
        <f>K24-L24</f>
        <v>0.2536120269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>
        <f>'Parte 3 new'!T3</f>
        <v>52.68905424</v>
      </c>
      <c r="B25" s="3">
        <f>'Parte 3 new'!U3</f>
        <v>35.68240766</v>
      </c>
      <c r="C25" s="3">
        <f>'Parte 3 new'!AB3</f>
        <v>0.1046208925</v>
      </c>
      <c r="D25" s="3">
        <f>'Parte 3 new'!AC3</f>
        <v>0.5385404776</v>
      </c>
      <c r="E25" s="3" t="str">
        <f>COMPLEX(A25,C25,"i")</f>
        <v>52.6890542352751+0.104620892467512i</v>
      </c>
      <c r="F25" s="3">
        <f>IMABS(E25)</f>
        <v>52.6891581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17" t="s">
        <v>111</v>
      </c>
      <c r="B26" s="18" t="s">
        <v>6</v>
      </c>
      <c r="C26" s="17" t="s">
        <v>80</v>
      </c>
      <c r="D26" s="18" t="s">
        <v>6</v>
      </c>
      <c r="E26" s="17" t="s">
        <v>112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>
        <f>'Parte 3 new'!T8</f>
        <v>28.7828715</v>
      </c>
      <c r="B27" s="3">
        <f>'Parte 3 new'!U8</f>
        <v>37.64549617</v>
      </c>
      <c r="C27" s="3">
        <f>'Parte 3 new'!AB8</f>
        <v>0.01729484267</v>
      </c>
      <c r="D27" s="3">
        <f>'Parte 3 new'!AC8</f>
        <v>0.08902593555</v>
      </c>
      <c r="E27" s="3" t="str">
        <f>COMPLEX(A27,C27,"i")</f>
        <v>28.7828714990882+0.017294842666904i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17" t="s">
        <v>113</v>
      </c>
      <c r="B28" s="18" t="s">
        <v>6</v>
      </c>
      <c r="C28" s="17" t="s">
        <v>114</v>
      </c>
      <c r="D28" s="18" t="s">
        <v>6</v>
      </c>
      <c r="E28" s="17" t="s">
        <v>115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>
        <f>AVERAGE('Parte 3 new'!V3,'Parte 3 new'!V8)</f>
        <v>520.9700346</v>
      </c>
      <c r="B29" s="3">
        <f>AVERAGE('Parte 3 new'!W3,'Parte 3 new'!W8)</f>
        <v>17.43678266</v>
      </c>
      <c r="C29" s="3">
        <f>AVERAGE('Parte 3 new'!Z3,'Parte 3 new'!Z8)</f>
        <v>7.091167519</v>
      </c>
      <c r="D29" s="3">
        <f>AVERAGE('Parte 3 new'!AA3,'Parte 3 new'!AA8)</f>
        <v>0.3669292972</v>
      </c>
      <c r="E29" s="3" t="str">
        <f>COMPLEX(A29,C29,"i")</f>
        <v>520.970034609576+7.09116751914524i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2023-11-14T14:50:42Z</dcterms:created>
  <dc:creator>João Chaves</dc:creator>
</cp:coreProperties>
</file>