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  <sheet state="visible" name="C_new" sheetId="4" r:id="rId7"/>
    <sheet state="visible" name="D" sheetId="5" r:id="rId8"/>
    <sheet state="visible" name="E" sheetId="6" r:id="rId9"/>
  </sheets>
  <definedNames/>
  <calcPr/>
</workbook>
</file>

<file path=xl/sharedStrings.xml><?xml version="1.0" encoding="utf-8"?>
<sst xmlns="http://schemas.openxmlformats.org/spreadsheetml/2006/main" count="330" uniqueCount="149">
  <si>
    <t>Teorico</t>
  </si>
  <si>
    <t>V(e):</t>
  </si>
  <si>
    <t>voltage</t>
  </si>
  <si>
    <t>Experimental</t>
  </si>
  <si>
    <t>Erro</t>
  </si>
  <si>
    <t>Valores</t>
  </si>
  <si>
    <t>Parametro</t>
  </si>
  <si>
    <t>V(c):</t>
  </si>
  <si>
    <t>VCC</t>
  </si>
  <si>
    <t>V(b):</t>
  </si>
  <si>
    <t>IVCC</t>
  </si>
  <si>
    <t>I VCC</t>
  </si>
  <si>
    <t>V(d):</t>
  </si>
  <si>
    <t>P VCC</t>
  </si>
  <si>
    <t>Vx</t>
  </si>
  <si>
    <t>PVCC</t>
  </si>
  <si>
    <t>V(f):</t>
  </si>
  <si>
    <t>VCC-</t>
  </si>
  <si>
    <t>Ii</t>
  </si>
  <si>
    <t>VCE Q1</t>
  </si>
  <si>
    <t>V(a):</t>
  </si>
  <si>
    <t>IVCC-</t>
  </si>
  <si>
    <t>Vo</t>
  </si>
  <si>
    <t>I Q1</t>
  </si>
  <si>
    <t>Ic(Q1):</t>
  </si>
  <si>
    <t>device_current</t>
  </si>
  <si>
    <t>P VCC-</t>
  </si>
  <si>
    <t>Io</t>
  </si>
  <si>
    <t>P Q1</t>
  </si>
  <si>
    <t>Ib(Q1):</t>
  </si>
  <si>
    <t>VQ1</t>
  </si>
  <si>
    <t>I</t>
  </si>
  <si>
    <t>V R2</t>
  </si>
  <si>
    <t>Ie(Q1):</t>
  </si>
  <si>
    <t>IQ1</t>
  </si>
  <si>
    <t>Vy</t>
  </si>
  <si>
    <t>I R2</t>
  </si>
  <si>
    <t>Ic(Q2):</t>
  </si>
  <si>
    <t>IR</t>
  </si>
  <si>
    <t>P R2</t>
  </si>
  <si>
    <t>Ib(Q2):</t>
  </si>
  <si>
    <t>V R1</t>
  </si>
  <si>
    <t>VCE Q2</t>
  </si>
  <si>
    <t>Ie(Q2):</t>
  </si>
  <si>
    <t>I R1</t>
  </si>
  <si>
    <t>I Q2</t>
  </si>
  <si>
    <t>Ic(Q3):</t>
  </si>
  <si>
    <t>P R1</t>
  </si>
  <si>
    <t>P Q2</t>
  </si>
  <si>
    <t>Ib(Q3):</t>
  </si>
  <si>
    <t>V Q2</t>
  </si>
  <si>
    <t>Ie(Q3):</t>
  </si>
  <si>
    <t>VCE Q3</t>
  </si>
  <si>
    <t>I(R):</t>
  </si>
  <si>
    <t>I(R1):</t>
  </si>
  <si>
    <t>V Q3</t>
  </si>
  <si>
    <t>i B Q1</t>
  </si>
  <si>
    <t>I(R2):</t>
  </si>
  <si>
    <t>I Q3</t>
  </si>
  <si>
    <t>R2</t>
  </si>
  <si>
    <t>I(V1):</t>
  </si>
  <si>
    <t>P Q3</t>
  </si>
  <si>
    <t>I(V2):</t>
  </si>
  <si>
    <t>V R</t>
  </si>
  <si>
    <t>I(V3):</t>
  </si>
  <si>
    <t>I R</t>
  </si>
  <si>
    <t>P R</t>
  </si>
  <si>
    <t>V -VCC</t>
  </si>
  <si>
    <t>I -VCC</t>
  </si>
  <si>
    <t>P dada</t>
  </si>
  <si>
    <t>P -VCC</t>
  </si>
  <si>
    <t>P gasta</t>
  </si>
  <si>
    <t>P fornecida</t>
  </si>
  <si>
    <t>Rendimento</t>
  </si>
  <si>
    <t>f (Hz)</t>
  </si>
  <si>
    <t>R_i</t>
  </si>
  <si>
    <t>R_o</t>
  </si>
  <si>
    <t>I_VCC</t>
  </si>
  <si>
    <t>I_-Vcc</t>
  </si>
  <si>
    <t>Vcc</t>
  </si>
  <si>
    <t>-Vcc</t>
  </si>
  <si>
    <t>Vi (V)</t>
  </si>
  <si>
    <t>Vo (v)</t>
  </si>
  <si>
    <t>v_o/v_i</t>
  </si>
  <si>
    <t>V_Ri (V)</t>
  </si>
  <si>
    <t>i_i (A)</t>
  </si>
  <si>
    <t>i_o (A)</t>
  </si>
  <si>
    <t>i_o/i_i</t>
  </si>
  <si>
    <t>Satura em baixo</t>
  </si>
  <si>
    <t>3 VOLTIMETROS</t>
  </si>
  <si>
    <t>Rout</t>
  </si>
  <si>
    <t>v_omax</t>
  </si>
  <si>
    <t>2 VOLTIMETROS E 1  AMPERIMETO</t>
  </si>
  <si>
    <t>V_i (V)</t>
  </si>
  <si>
    <t>Delta v_i eff</t>
  </si>
  <si>
    <t>I_Vcc</t>
  </si>
  <si>
    <t>ANALISE</t>
  </si>
  <si>
    <t>I (A)</t>
  </si>
  <si>
    <t>Delta I (A)</t>
  </si>
  <si>
    <t>Delta v_o eff (V)</t>
  </si>
  <si>
    <t>V_o (V)</t>
  </si>
  <si>
    <t>Average (V)</t>
  </si>
  <si>
    <t>P_VCC(W)</t>
  </si>
  <si>
    <t>P_-VCC(W)</t>
  </si>
  <si>
    <t>P_Load(W)</t>
  </si>
  <si>
    <t>P_Q1</t>
  </si>
  <si>
    <t>P_Q2</t>
  </si>
  <si>
    <t>P_fontes</t>
  </si>
  <si>
    <t>Erros-&gt;</t>
  </si>
  <si>
    <t>eficiencia</t>
  </si>
  <si>
    <t>%</t>
  </si>
  <si>
    <t>v_omax/2</t>
  </si>
  <si>
    <t>R2 (Ohm)</t>
  </si>
  <si>
    <t>R1 (Ohm)</t>
  </si>
  <si>
    <t>IVcc</t>
  </si>
  <si>
    <t>I-Vcc</t>
  </si>
  <si>
    <t>v_i for v_o_max AC</t>
  </si>
  <si>
    <t>v_o_max</t>
  </si>
  <si>
    <t>v_o/5</t>
  </si>
  <si>
    <t>v_o/5 actual</t>
  </si>
  <si>
    <t>v_R2</t>
  </si>
  <si>
    <t>i_i</t>
  </si>
  <si>
    <t>v_i</t>
  </si>
  <si>
    <t>Z_i</t>
  </si>
  <si>
    <t>Zo</t>
  </si>
  <si>
    <t>mA</t>
  </si>
  <si>
    <t>kO</t>
  </si>
  <si>
    <t>R1 1 (Ohm)</t>
  </si>
  <si>
    <t>v_o 1</t>
  </si>
  <si>
    <t>Z_o</t>
  </si>
  <si>
    <t>R1 2(Ohm)</t>
  </si>
  <si>
    <t>v_o 2</t>
  </si>
  <si>
    <t>v_i/5</t>
  </si>
  <si>
    <t>v_i actual (V)</t>
  </si>
  <si>
    <t>R2 new (Ohm)</t>
  </si>
  <si>
    <t xml:space="preserve">O multímetro não tem precisái para altas frequências -&gt; </t>
  </si>
  <si>
    <t>Erros</t>
  </si>
  <si>
    <t>SÓ PARA COMPARAR</t>
  </si>
  <si>
    <t>f</t>
  </si>
  <si>
    <t>logf</t>
  </si>
  <si>
    <t>Erro f</t>
  </si>
  <si>
    <t>Erro logf</t>
  </si>
  <si>
    <t>v_o</t>
  </si>
  <si>
    <t>g</t>
  </si>
  <si>
    <t>log g</t>
  </si>
  <si>
    <t>20log g</t>
  </si>
  <si>
    <t>MATLAB</t>
  </si>
  <si>
    <t>i_i (mA)</t>
  </si>
  <si>
    <t>i_o (mA)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</si>
</sst>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Arial"/>
      <scheme val="minor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/>
    </xf>
    <xf borderId="0" fillId="7" fontId="1" numFmtId="0" xfId="0" applyAlignment="1" applyFill="1" applyFont="1">
      <alignment horizontal="center" readingOrder="0"/>
    </xf>
    <xf borderId="0" fillId="0" fontId="1" numFmtId="10" xfId="0" applyAlignment="1" applyFont="1" applyNumberFormat="1">
      <alignment horizontal="center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8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0" fillId="11" fontId="4" numFmtId="0" xfId="0" applyAlignment="1" applyFill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6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1" t="s">
        <v>1</v>
      </c>
      <c r="E1" s="1">
        <v>-7.02978</v>
      </c>
      <c r="F1" s="1" t="s">
        <v>2</v>
      </c>
      <c r="H1" s="1" t="s">
        <v>3</v>
      </c>
      <c r="J1" s="1" t="s">
        <v>4</v>
      </c>
      <c r="M1" s="1" t="s">
        <v>5</v>
      </c>
      <c r="N1" s="1" t="s">
        <v>4</v>
      </c>
    </row>
    <row r="2">
      <c r="A2" s="1" t="s">
        <v>6</v>
      </c>
      <c r="D2" s="1" t="s">
        <v>7</v>
      </c>
      <c r="E2" s="1">
        <v>7.7</v>
      </c>
      <c r="F2" s="1" t="s">
        <v>2</v>
      </c>
      <c r="H2" s="1" t="s">
        <v>8</v>
      </c>
      <c r="I2" s="1">
        <f t="shared" ref="I2:J2" si="1">M2</f>
        <v>7.7</v>
      </c>
      <c r="J2" s="1">
        <f t="shared" si="1"/>
        <v>0.1</v>
      </c>
      <c r="L2" s="1" t="s">
        <v>8</v>
      </c>
      <c r="M2" s="1">
        <v>7.7</v>
      </c>
      <c r="N2" s="1">
        <v>0.1</v>
      </c>
    </row>
    <row r="3">
      <c r="A3" s="1" t="s">
        <v>8</v>
      </c>
      <c r="B3" s="1">
        <f>E2</f>
        <v>7.7</v>
      </c>
      <c r="D3" s="1" t="s">
        <v>9</v>
      </c>
      <c r="E3" s="1">
        <v>-0.141543</v>
      </c>
      <c r="F3" s="1" t="s">
        <v>2</v>
      </c>
      <c r="H3" s="1" t="s">
        <v>10</v>
      </c>
      <c r="I3" s="1">
        <f t="shared" ref="I3:J3" si="2">M3</f>
        <v>0.64</v>
      </c>
      <c r="J3" s="1">
        <f t="shared" si="2"/>
        <v>0.01</v>
      </c>
      <c r="L3" s="1" t="s">
        <v>11</v>
      </c>
      <c r="M3" s="1">
        <v>0.64</v>
      </c>
      <c r="N3" s="1">
        <v>0.01</v>
      </c>
    </row>
    <row r="4">
      <c r="A4" s="1" t="s">
        <v>10</v>
      </c>
      <c r="B4" s="1">
        <f>E20</f>
        <v>-0.598511</v>
      </c>
      <c r="D4" s="1" t="s">
        <v>12</v>
      </c>
      <c r="E4" s="1">
        <v>-0.60567</v>
      </c>
      <c r="F4" s="1" t="s">
        <v>2</v>
      </c>
      <c r="H4" s="2" t="s">
        <v>13</v>
      </c>
      <c r="I4" s="3">
        <f>ABS(I2*I3)</f>
        <v>4.928</v>
      </c>
      <c r="J4" s="3">
        <f>I2*J3+I3*J2</f>
        <v>0.141</v>
      </c>
      <c r="L4" s="1" t="s">
        <v>14</v>
      </c>
      <c r="M4" s="1">
        <v>-0.124</v>
      </c>
      <c r="N4" s="1">
        <v>0.001</v>
      </c>
    </row>
    <row r="5">
      <c r="A5" s="2" t="s">
        <v>15</v>
      </c>
      <c r="B5" s="3">
        <f>ABS(B3*B4)</f>
        <v>4.6085347</v>
      </c>
      <c r="D5" s="1" t="s">
        <v>16</v>
      </c>
      <c r="E5" s="1">
        <v>-7.5</v>
      </c>
      <c r="F5" s="1" t="s">
        <v>2</v>
      </c>
      <c r="H5" s="1" t="s">
        <v>17</v>
      </c>
      <c r="I5" s="3">
        <f t="shared" ref="I5:J5" si="3">M11</f>
        <v>-7.5</v>
      </c>
      <c r="J5" s="1">
        <f t="shared" si="3"/>
        <v>0.1</v>
      </c>
      <c r="L5" s="1" t="s">
        <v>18</v>
      </c>
      <c r="M5" s="1">
        <v>-0.0115</v>
      </c>
      <c r="N5" s="1">
        <v>1.0E-4</v>
      </c>
    </row>
    <row r="6">
      <c r="A6" s="1" t="s">
        <v>19</v>
      </c>
      <c r="B6" s="3">
        <f>E2-E4</f>
        <v>8.30567</v>
      </c>
      <c r="D6" s="1" t="s">
        <v>20</v>
      </c>
      <c r="E6" s="1">
        <v>0.0</v>
      </c>
      <c r="F6" s="1" t="s">
        <v>2</v>
      </c>
      <c r="H6" s="1" t="s">
        <v>21</v>
      </c>
      <c r="I6" s="3">
        <f>M12</f>
        <v>1.38</v>
      </c>
      <c r="J6" s="1">
        <v>0.01</v>
      </c>
      <c r="L6" s="1" t="s">
        <v>22</v>
      </c>
      <c r="M6" s="3">
        <f>-0.7</f>
        <v>-0.7</v>
      </c>
      <c r="N6" s="1">
        <v>0.1</v>
      </c>
    </row>
    <row r="7">
      <c r="A7" s="1" t="s">
        <v>23</v>
      </c>
      <c r="B7" s="3">
        <f>E7</f>
        <v>0.598511</v>
      </c>
      <c r="D7" s="1" t="s">
        <v>24</v>
      </c>
      <c r="E7" s="1">
        <v>0.598511</v>
      </c>
      <c r="F7" s="1" t="s">
        <v>25</v>
      </c>
      <c r="H7" s="2" t="s">
        <v>26</v>
      </c>
      <c r="I7" s="3">
        <f>ABS(I5*I6)</f>
        <v>10.35</v>
      </c>
      <c r="J7" s="3">
        <f>ABS(I5*J6)+I6*J5</f>
        <v>0.213</v>
      </c>
      <c r="L7" s="1" t="s">
        <v>27</v>
      </c>
      <c r="M7" s="3">
        <f>-0.07</f>
        <v>-0.07</v>
      </c>
      <c r="N7" s="1">
        <v>0.01</v>
      </c>
    </row>
    <row r="8">
      <c r="A8" s="2" t="s">
        <v>28</v>
      </c>
      <c r="B8" s="3">
        <f>ABS(B6*B7)</f>
        <v>4.971034857</v>
      </c>
      <c r="D8" s="1" t="s">
        <v>29</v>
      </c>
      <c r="E8" s="1">
        <v>0.0131058</v>
      </c>
      <c r="F8" s="1" t="s">
        <v>25</v>
      </c>
      <c r="H8" s="1" t="s">
        <v>30</v>
      </c>
      <c r="I8" s="3">
        <f t="shared" ref="I8:J8" si="4">M13</f>
        <v>8.4</v>
      </c>
      <c r="J8" s="3">
        <f t="shared" si="4"/>
        <v>0.2</v>
      </c>
      <c r="L8" s="1" t="s">
        <v>31</v>
      </c>
      <c r="M8" s="3">
        <f>0.6985</f>
        <v>0.6985</v>
      </c>
      <c r="N8" s="1">
        <v>1.0E-4</v>
      </c>
    </row>
    <row r="9">
      <c r="A9" s="1" t="s">
        <v>32</v>
      </c>
      <c r="B9" s="3">
        <f>E6-E3</f>
        <v>0.141543</v>
      </c>
      <c r="D9" s="1" t="s">
        <v>33</v>
      </c>
      <c r="E9" s="1">
        <v>-0.611617</v>
      </c>
      <c r="F9" s="1" t="s">
        <v>25</v>
      </c>
      <c r="H9" s="1" t="s">
        <v>34</v>
      </c>
      <c r="I9" s="3">
        <f t="shared" ref="I9:J9" si="5">M3</f>
        <v>0.64</v>
      </c>
      <c r="J9" s="3">
        <f t="shared" si="5"/>
        <v>0.01</v>
      </c>
      <c r="L9" s="1" t="s">
        <v>35</v>
      </c>
      <c r="M9" s="3">
        <f>-6.6</f>
        <v>-6.6</v>
      </c>
      <c r="N9" s="1">
        <v>0.01</v>
      </c>
    </row>
    <row r="10">
      <c r="A10" s="1" t="s">
        <v>36</v>
      </c>
      <c r="B10" s="3">
        <f>E18</f>
        <v>-0.0131058</v>
      </c>
      <c r="D10" s="1" t="s">
        <v>37</v>
      </c>
      <c r="E10" s="1">
        <v>0.672184</v>
      </c>
      <c r="F10" s="1" t="s">
        <v>25</v>
      </c>
      <c r="H10" s="2" t="s">
        <v>28</v>
      </c>
      <c r="I10" s="3">
        <f>I8*I9</f>
        <v>5.376</v>
      </c>
      <c r="J10" s="3">
        <f>I8*J9+I9*J8</f>
        <v>0.212</v>
      </c>
      <c r="L10" s="1" t="s">
        <v>38</v>
      </c>
      <c r="M10" s="1">
        <v>0.66</v>
      </c>
      <c r="N10" s="1">
        <v>0.001</v>
      </c>
    </row>
    <row r="11">
      <c r="A11" s="2" t="s">
        <v>39</v>
      </c>
      <c r="B11" s="3">
        <f>ABS(B9*B10)</f>
        <v>0.001855034249</v>
      </c>
      <c r="D11" s="1" t="s">
        <v>40</v>
      </c>
      <c r="E11" s="1">
        <v>0.0153975</v>
      </c>
      <c r="F11" s="1" t="s">
        <v>25</v>
      </c>
      <c r="H11" s="1" t="s">
        <v>41</v>
      </c>
      <c r="I11" s="3">
        <f t="shared" ref="I11:J11" si="6">M6</f>
        <v>-0.7</v>
      </c>
      <c r="J11" s="3">
        <f t="shared" si="6"/>
        <v>0.1</v>
      </c>
      <c r="L11" s="1" t="s">
        <v>17</v>
      </c>
      <c r="M11" s="1">
        <v>-7.5</v>
      </c>
      <c r="N11" s="1">
        <v>0.1</v>
      </c>
    </row>
    <row r="12">
      <c r="A12" s="1" t="s">
        <v>42</v>
      </c>
      <c r="B12" s="3">
        <f>E4-E5</f>
        <v>6.89433</v>
      </c>
      <c r="D12" s="1" t="s">
        <v>43</v>
      </c>
      <c r="E12" s="1">
        <v>-0.687582</v>
      </c>
      <c r="F12" s="1" t="s">
        <v>25</v>
      </c>
      <c r="H12" s="1" t="s">
        <v>44</v>
      </c>
      <c r="I12" s="3">
        <f t="shared" ref="I12:J12" si="7">M7</f>
        <v>-0.07</v>
      </c>
      <c r="J12" s="3">
        <f t="shared" si="7"/>
        <v>0.01</v>
      </c>
      <c r="L12" s="1" t="s">
        <v>21</v>
      </c>
      <c r="M12" s="1">
        <v>1.38</v>
      </c>
      <c r="N12" s="1">
        <v>0.01</v>
      </c>
    </row>
    <row r="13">
      <c r="A13" s="1" t="s">
        <v>45</v>
      </c>
      <c r="B13" s="3">
        <f>E10</f>
        <v>0.672184</v>
      </c>
      <c r="D13" s="1" t="s">
        <v>46</v>
      </c>
      <c r="E13" s="1">
        <v>0.672183</v>
      </c>
      <c r="F13" s="1" t="s">
        <v>25</v>
      </c>
      <c r="H13" s="2" t="s">
        <v>47</v>
      </c>
      <c r="I13" s="3">
        <f>I11*I12</f>
        <v>0.049</v>
      </c>
      <c r="J13" s="3">
        <f>ABS(I11*J12)+ABS(I12*J11)</f>
        <v>0.014</v>
      </c>
      <c r="L13" s="1" t="s">
        <v>19</v>
      </c>
      <c r="M13" s="3">
        <f>M2-M6</f>
        <v>8.4</v>
      </c>
      <c r="N13" s="3">
        <f>N2+N6</f>
        <v>0.2</v>
      </c>
    </row>
    <row r="14">
      <c r="A14" s="2" t="s">
        <v>48</v>
      </c>
      <c r="B14" s="3">
        <f>ABS(B12*B13)</f>
        <v>4.634258317</v>
      </c>
      <c r="D14" s="1" t="s">
        <v>49</v>
      </c>
      <c r="E14" s="1">
        <v>0.0153975</v>
      </c>
      <c r="F14" s="1" t="s">
        <v>25</v>
      </c>
      <c r="H14" s="1" t="s">
        <v>50</v>
      </c>
      <c r="I14" s="3">
        <f>M6-M11</f>
        <v>6.8</v>
      </c>
      <c r="J14" s="3">
        <f>N6+N11</f>
        <v>0.2</v>
      </c>
      <c r="L14" s="1" t="s">
        <v>42</v>
      </c>
      <c r="M14" s="3">
        <f>M6-M11</f>
        <v>6.8</v>
      </c>
      <c r="N14" s="3">
        <f>N6+N11</f>
        <v>0.2</v>
      </c>
    </row>
    <row r="15">
      <c r="A15" s="1" t="s">
        <v>41</v>
      </c>
      <c r="B15" s="3">
        <f>E4</f>
        <v>-0.60567</v>
      </c>
      <c r="D15" s="1" t="s">
        <v>51</v>
      </c>
      <c r="E15" s="1">
        <v>-0.687581</v>
      </c>
      <c r="F15" s="1" t="s">
        <v>25</v>
      </c>
      <c r="H15" s="1" t="s">
        <v>45</v>
      </c>
      <c r="I15" s="3">
        <f t="shared" ref="I15:J15" si="8">M8</f>
        <v>0.6985</v>
      </c>
      <c r="J15" s="3">
        <f t="shared" si="8"/>
        <v>0.0001</v>
      </c>
      <c r="L15" s="1" t="s">
        <v>52</v>
      </c>
      <c r="M15" s="3">
        <f>M9-M11</f>
        <v>0.9</v>
      </c>
      <c r="N15" s="3">
        <f>N11+N9</f>
        <v>0.11</v>
      </c>
    </row>
    <row r="16">
      <c r="A16" s="1" t="s">
        <v>44</v>
      </c>
      <c r="B16" s="3">
        <f>E17</f>
        <v>0.060567</v>
      </c>
      <c r="D16" s="1" t="s">
        <v>53</v>
      </c>
      <c r="E16" s="1">
        <v>0.702978</v>
      </c>
      <c r="F16" s="1" t="s">
        <v>25</v>
      </c>
      <c r="H16" s="2" t="s">
        <v>48</v>
      </c>
      <c r="I16" s="3">
        <f>I14*I15</f>
        <v>4.7498</v>
      </c>
      <c r="J16" s="3">
        <f>I14*J15+I15*J14</f>
        <v>0.14038</v>
      </c>
    </row>
    <row r="17">
      <c r="A17" s="2" t="s">
        <v>47</v>
      </c>
      <c r="B17" s="3">
        <f>ABS(B15*B16)</f>
        <v>0.03668361489</v>
      </c>
      <c r="D17" s="1" t="s">
        <v>54</v>
      </c>
      <c r="E17" s="1">
        <v>0.060567</v>
      </c>
      <c r="F17" s="1" t="s">
        <v>25</v>
      </c>
      <c r="H17" s="1" t="s">
        <v>55</v>
      </c>
      <c r="I17" s="3">
        <f>M9-M11</f>
        <v>0.9</v>
      </c>
      <c r="J17" s="3">
        <f>N9+N11</f>
        <v>0.11</v>
      </c>
      <c r="L17" s="1" t="s">
        <v>56</v>
      </c>
      <c r="M17" s="3">
        <f t="shared" ref="M17:N17" si="9">M5</f>
        <v>-0.0115</v>
      </c>
      <c r="N17" s="3">
        <f t="shared" si="9"/>
        <v>0.0001</v>
      </c>
    </row>
    <row r="18">
      <c r="A18" s="1" t="s">
        <v>52</v>
      </c>
      <c r="B18" s="3">
        <f>E1-E5</f>
        <v>0.47022</v>
      </c>
      <c r="D18" s="1" t="s">
        <v>57</v>
      </c>
      <c r="E18" s="1">
        <v>-0.0131058</v>
      </c>
      <c r="F18" s="1" t="s">
        <v>25</v>
      </c>
      <c r="H18" s="1" t="s">
        <v>58</v>
      </c>
      <c r="I18" s="3">
        <f t="shared" ref="I18:J18" si="10">M10</f>
        <v>0.66</v>
      </c>
      <c r="J18" s="3">
        <f t="shared" si="10"/>
        <v>0.001</v>
      </c>
      <c r="L18" s="1" t="s">
        <v>59</v>
      </c>
      <c r="M18" s="1">
        <v>10.8</v>
      </c>
      <c r="N18" s="1">
        <v>0.1</v>
      </c>
    </row>
    <row r="19">
      <c r="A19" s="1" t="s">
        <v>58</v>
      </c>
      <c r="B19" s="3">
        <f>E13</f>
        <v>0.672183</v>
      </c>
      <c r="D19" s="1" t="s">
        <v>60</v>
      </c>
      <c r="E19" s="1">
        <v>-1.37516</v>
      </c>
      <c r="F19" s="1" t="s">
        <v>25</v>
      </c>
      <c r="H19" s="2" t="s">
        <v>61</v>
      </c>
      <c r="I19" s="3">
        <f>I17*I18</f>
        <v>0.594</v>
      </c>
      <c r="J19" s="3">
        <f>I17*J18+I18*J17</f>
        <v>0.0735</v>
      </c>
    </row>
    <row r="20">
      <c r="A20" s="2" t="s">
        <v>61</v>
      </c>
      <c r="B20" s="3">
        <f>ABS(B18*B19)</f>
        <v>0.3160738903</v>
      </c>
      <c r="D20" s="1" t="s">
        <v>62</v>
      </c>
      <c r="E20" s="1">
        <v>-0.598511</v>
      </c>
      <c r="F20" s="1" t="s">
        <v>25</v>
      </c>
      <c r="H20" s="1" t="s">
        <v>63</v>
      </c>
      <c r="I20" s="3">
        <f t="shared" ref="I20:J20" si="11">M9</f>
        <v>-6.6</v>
      </c>
      <c r="J20" s="3">
        <f t="shared" si="11"/>
        <v>0.01</v>
      </c>
      <c r="K20" s="1" t="s">
        <v>32</v>
      </c>
      <c r="L20" s="3">
        <f t="shared" ref="L20:M20" si="12">M4</f>
        <v>-0.124</v>
      </c>
      <c r="M20" s="3">
        <f t="shared" si="12"/>
        <v>0.001</v>
      </c>
    </row>
    <row r="21">
      <c r="A21" s="1" t="s">
        <v>63</v>
      </c>
      <c r="B21" s="3">
        <f>E1</f>
        <v>-7.02978</v>
      </c>
      <c r="D21" s="1" t="s">
        <v>64</v>
      </c>
      <c r="E21" s="1">
        <v>-0.0131058</v>
      </c>
      <c r="F21" s="1" t="s">
        <v>25</v>
      </c>
      <c r="H21" s="1" t="s">
        <v>65</v>
      </c>
      <c r="I21" s="3">
        <f t="shared" ref="I21:J21" si="13">M10</f>
        <v>0.66</v>
      </c>
      <c r="J21" s="3">
        <f t="shared" si="13"/>
        <v>0.001</v>
      </c>
      <c r="K21" s="1" t="s">
        <v>36</v>
      </c>
      <c r="L21" s="3">
        <f t="shared" ref="L21:M21" si="14">M5</f>
        <v>-0.0115</v>
      </c>
      <c r="M21" s="3">
        <f t="shared" si="14"/>
        <v>0.0001</v>
      </c>
    </row>
    <row r="22">
      <c r="A22" s="1" t="s">
        <v>65</v>
      </c>
      <c r="B22" s="3">
        <f>E16</f>
        <v>0.702978</v>
      </c>
      <c r="H22" s="2" t="s">
        <v>66</v>
      </c>
      <c r="I22" s="3">
        <f>ABS(I20*I21)</f>
        <v>4.356</v>
      </c>
      <c r="J22" s="3">
        <f>ABS(I20*J21)+I21*J20</f>
        <v>0.0132</v>
      </c>
      <c r="K22" s="2" t="s">
        <v>39</v>
      </c>
      <c r="L22" s="3">
        <f>L20*L21</f>
        <v>0.001426</v>
      </c>
      <c r="M22" s="3">
        <f>ABS(L20*M21)+ABS(L21*M20)</f>
        <v>0.0000239</v>
      </c>
    </row>
    <row r="23">
      <c r="A23" s="2" t="s">
        <v>66</v>
      </c>
      <c r="B23" s="3">
        <f>ABS(B21*B22)</f>
        <v>4.941780685</v>
      </c>
    </row>
    <row r="24">
      <c r="A24" s="1" t="s">
        <v>67</v>
      </c>
      <c r="B24" s="3">
        <f>E5</f>
        <v>-7.5</v>
      </c>
    </row>
    <row r="25">
      <c r="A25" s="1" t="s">
        <v>68</v>
      </c>
      <c r="B25" s="3">
        <f>E19</f>
        <v>-1.37516</v>
      </c>
      <c r="H25" s="1" t="s">
        <v>69</v>
      </c>
      <c r="I25" s="3">
        <f t="shared" ref="I25:J25" si="15">I4+I7</f>
        <v>15.278</v>
      </c>
      <c r="J25" s="3">
        <f t="shared" si="15"/>
        <v>0.354</v>
      </c>
    </row>
    <row r="26">
      <c r="A26" s="2" t="s">
        <v>70</v>
      </c>
      <c r="B26" s="3">
        <f>ABS(B24*B25)</f>
        <v>10.3137</v>
      </c>
      <c r="H26" s="1" t="s">
        <v>71</v>
      </c>
      <c r="I26" s="3">
        <f t="shared" ref="I26:J26" si="16">I10+I13+I16+I19+I22+L22</f>
        <v>15.126226</v>
      </c>
      <c r="J26" s="3">
        <f t="shared" si="16"/>
        <v>0.4531039</v>
      </c>
    </row>
    <row r="28">
      <c r="A28" s="1" t="s">
        <v>72</v>
      </c>
      <c r="B28" s="3">
        <f>B5+B26</f>
        <v>14.9222347</v>
      </c>
    </row>
    <row r="29">
      <c r="A29" s="1" t="s">
        <v>71</v>
      </c>
      <c r="B29" s="3">
        <f>B8+B11+B14+B17+B20+B23</f>
        <v>14.9016864</v>
      </c>
    </row>
    <row r="30">
      <c r="A30" s="1" t="s">
        <v>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74</v>
      </c>
      <c r="C2" s="1" t="s">
        <v>75</v>
      </c>
      <c r="D2" s="1" t="s">
        <v>4</v>
      </c>
      <c r="F2" s="1"/>
      <c r="G2" s="1"/>
      <c r="H2" s="1" t="s">
        <v>76</v>
      </c>
      <c r="I2" s="1" t="s">
        <v>4</v>
      </c>
      <c r="L2" s="1" t="s">
        <v>77</v>
      </c>
      <c r="M2" s="1" t="s">
        <v>78</v>
      </c>
      <c r="N2" s="1" t="s">
        <v>79</v>
      </c>
      <c r="O2" s="1" t="s">
        <v>80</v>
      </c>
    </row>
    <row r="3">
      <c r="A3" s="1">
        <v>298.0</v>
      </c>
      <c r="C3" s="1">
        <v>10.8</v>
      </c>
      <c r="D3" s="1">
        <v>0.1</v>
      </c>
      <c r="F3" s="1"/>
      <c r="G3" s="1"/>
      <c r="H3" s="1">
        <v>10.0</v>
      </c>
      <c r="I3" s="1">
        <v>0.1</v>
      </c>
      <c r="L3" s="1">
        <v>0.6</v>
      </c>
      <c r="M3" s="1">
        <v>1.31</v>
      </c>
      <c r="N3" s="1">
        <v>7.7</v>
      </c>
      <c r="O3" s="1">
        <v>-7.5</v>
      </c>
    </row>
    <row r="5">
      <c r="B5" s="1" t="s">
        <v>81</v>
      </c>
      <c r="C5" s="1" t="s">
        <v>4</v>
      </c>
      <c r="D5" s="1" t="s">
        <v>82</v>
      </c>
      <c r="E5" s="1" t="s">
        <v>4</v>
      </c>
      <c r="F5" s="1" t="s">
        <v>83</v>
      </c>
      <c r="G5" s="1"/>
      <c r="H5" s="1" t="s">
        <v>84</v>
      </c>
      <c r="I5" s="1" t="s">
        <v>4</v>
      </c>
      <c r="J5" s="1"/>
      <c r="K5" s="1"/>
      <c r="L5" s="1" t="s">
        <v>85</v>
      </c>
      <c r="M5" s="1" t="s">
        <v>4</v>
      </c>
      <c r="N5" s="1" t="s">
        <v>86</v>
      </c>
      <c r="O5" s="1" t="s">
        <v>4</v>
      </c>
      <c r="P5" s="1" t="s">
        <v>87</v>
      </c>
    </row>
    <row r="6">
      <c r="D6" s="1"/>
      <c r="F6" s="1"/>
      <c r="G6" s="1"/>
      <c r="H6" s="1"/>
    </row>
    <row r="7">
      <c r="B7" s="1">
        <v>0.526</v>
      </c>
      <c r="C7" s="1">
        <v>0.001</v>
      </c>
      <c r="D7" s="1">
        <v>0.42</v>
      </c>
      <c r="E7" s="1">
        <v>0.001</v>
      </c>
      <c r="F7" s="1">
        <f t="shared" ref="F7:F16" si="1">D7/B7</f>
        <v>0.7984790875</v>
      </c>
      <c r="G7" s="1"/>
      <c r="H7" s="1">
        <v>0.0023</v>
      </c>
      <c r="I7" s="1">
        <v>1.0E-4</v>
      </c>
      <c r="L7" s="3">
        <f t="shared" ref="L7:L16" si="2">H7/$C$3</f>
        <v>0.000212962963</v>
      </c>
      <c r="M7" s="3">
        <f t="shared" ref="M7:M16" si="3">I7/$C$3+(H7*$D$3)/$C$3^2</f>
        <v>0.00001123113855</v>
      </c>
      <c r="N7" s="3">
        <f t="shared" ref="N7:N16" si="4">D7/$H$3</f>
        <v>0.042</v>
      </c>
      <c r="O7" s="3">
        <f t="shared" ref="O7:O16" si="5">E7/$H$3+(D7*$I$3)/$H$3^2</f>
        <v>0.00052</v>
      </c>
      <c r="P7" s="3">
        <f t="shared" ref="P7:P16" si="6">N7/L7</f>
        <v>197.2173913</v>
      </c>
    </row>
    <row r="8">
      <c r="B8" s="1">
        <v>1.047</v>
      </c>
      <c r="C8" s="1">
        <v>0.001</v>
      </c>
      <c r="D8" s="1">
        <v>0.836</v>
      </c>
      <c r="E8" s="1">
        <v>0.001</v>
      </c>
      <c r="F8" s="1">
        <f t="shared" si="1"/>
        <v>0.7984718243</v>
      </c>
      <c r="G8" s="1"/>
      <c r="H8" s="1">
        <v>0.0053</v>
      </c>
      <c r="I8" s="1">
        <v>1.0E-4</v>
      </c>
      <c r="L8" s="3">
        <f t="shared" si="2"/>
        <v>0.0004907407407</v>
      </c>
      <c r="M8" s="3">
        <f t="shared" si="3"/>
        <v>0.00001380315501</v>
      </c>
      <c r="N8" s="3">
        <f t="shared" si="4"/>
        <v>0.0836</v>
      </c>
      <c r="O8" s="3">
        <f t="shared" si="5"/>
        <v>0.000936</v>
      </c>
      <c r="P8" s="3">
        <f t="shared" si="6"/>
        <v>170.354717</v>
      </c>
    </row>
    <row r="9">
      <c r="B9" s="1">
        <v>1.526</v>
      </c>
      <c r="C9" s="1">
        <v>0.001</v>
      </c>
      <c r="D9" s="1">
        <v>1.224</v>
      </c>
      <c r="E9" s="1">
        <v>0.001</v>
      </c>
      <c r="F9" s="1">
        <f t="shared" si="1"/>
        <v>0.8020969856</v>
      </c>
      <c r="G9" s="1"/>
      <c r="H9" s="1">
        <v>0.0076</v>
      </c>
      <c r="I9" s="1">
        <v>1.0E-4</v>
      </c>
      <c r="L9" s="3">
        <f t="shared" si="2"/>
        <v>0.0007037037037</v>
      </c>
      <c r="M9" s="3">
        <f t="shared" si="3"/>
        <v>0.00001577503429</v>
      </c>
      <c r="N9" s="3">
        <f t="shared" si="4"/>
        <v>0.1224</v>
      </c>
      <c r="O9" s="3">
        <f t="shared" si="5"/>
        <v>0.001324</v>
      </c>
      <c r="P9" s="3">
        <f t="shared" si="6"/>
        <v>173.9368421</v>
      </c>
    </row>
    <row r="10">
      <c r="B10" s="1">
        <v>1.967</v>
      </c>
      <c r="C10" s="1">
        <v>0.001</v>
      </c>
      <c r="D10" s="1">
        <v>1.582</v>
      </c>
      <c r="E10" s="1">
        <v>0.001</v>
      </c>
      <c r="F10" s="1">
        <f t="shared" si="1"/>
        <v>0.8042704626</v>
      </c>
      <c r="G10" s="1"/>
      <c r="H10" s="1">
        <v>0.0098</v>
      </c>
      <c r="I10" s="1">
        <v>1.0E-4</v>
      </c>
      <c r="L10" s="3">
        <f t="shared" si="2"/>
        <v>0.0009074074074</v>
      </c>
      <c r="M10" s="3">
        <f t="shared" si="3"/>
        <v>0.0000176611797</v>
      </c>
      <c r="N10" s="3">
        <f t="shared" si="4"/>
        <v>0.1582</v>
      </c>
      <c r="O10" s="3">
        <f t="shared" si="5"/>
        <v>0.001682</v>
      </c>
      <c r="P10" s="3">
        <f t="shared" si="6"/>
        <v>174.3428571</v>
      </c>
    </row>
    <row r="11">
      <c r="B11" s="1">
        <v>2.494</v>
      </c>
      <c r="C11" s="1">
        <v>0.001</v>
      </c>
      <c r="D11" s="1">
        <v>2.015</v>
      </c>
      <c r="E11" s="1">
        <v>0.001</v>
      </c>
      <c r="F11" s="1">
        <f t="shared" si="1"/>
        <v>0.8079390537</v>
      </c>
      <c r="H11" s="3">
        <f>12.5*0.001</f>
        <v>0.0125</v>
      </c>
      <c r="I11" s="1">
        <v>1.0E-4</v>
      </c>
      <c r="L11" s="3">
        <f t="shared" si="2"/>
        <v>0.001157407407</v>
      </c>
      <c r="M11" s="3">
        <f t="shared" si="3"/>
        <v>0.00001997599451</v>
      </c>
      <c r="N11" s="3">
        <f t="shared" si="4"/>
        <v>0.2015</v>
      </c>
      <c r="O11" s="3">
        <f t="shared" si="5"/>
        <v>0.002115</v>
      </c>
      <c r="P11" s="3">
        <f t="shared" si="6"/>
        <v>174.096</v>
      </c>
    </row>
    <row r="12">
      <c r="B12" s="1">
        <v>2.972</v>
      </c>
      <c r="C12" s="1">
        <v>0.001</v>
      </c>
      <c r="D12" s="1">
        <v>2.412</v>
      </c>
      <c r="E12" s="1">
        <v>0.001</v>
      </c>
      <c r="F12" s="1">
        <f t="shared" si="1"/>
        <v>0.8115746972</v>
      </c>
      <c r="H12" s="3">
        <f>15*0.001</f>
        <v>0.015</v>
      </c>
      <c r="I12" s="1">
        <v>1.0E-4</v>
      </c>
      <c r="L12" s="3">
        <f t="shared" si="2"/>
        <v>0.001388888889</v>
      </c>
      <c r="M12" s="3">
        <f t="shared" si="3"/>
        <v>0.00002211934156</v>
      </c>
      <c r="N12" s="3">
        <f t="shared" si="4"/>
        <v>0.2412</v>
      </c>
      <c r="O12" s="3">
        <f t="shared" si="5"/>
        <v>0.002512</v>
      </c>
      <c r="P12" s="3">
        <f t="shared" si="6"/>
        <v>173.664</v>
      </c>
    </row>
    <row r="13">
      <c r="B13" s="1">
        <v>3.514</v>
      </c>
      <c r="C13" s="1">
        <v>0.001</v>
      </c>
      <c r="D13" s="1">
        <v>2.884</v>
      </c>
      <c r="E13" s="1">
        <v>0.001</v>
      </c>
      <c r="F13" s="1">
        <f t="shared" si="1"/>
        <v>0.8207171315</v>
      </c>
      <c r="H13" s="3">
        <f>18*0.001</f>
        <v>0.018</v>
      </c>
      <c r="I13" s="1">
        <v>1.0E-4</v>
      </c>
      <c r="L13" s="3">
        <f t="shared" si="2"/>
        <v>0.001666666667</v>
      </c>
      <c r="M13" s="3">
        <f t="shared" si="3"/>
        <v>0.00002469135802</v>
      </c>
      <c r="N13" s="3">
        <f t="shared" si="4"/>
        <v>0.2884</v>
      </c>
      <c r="O13" s="3">
        <f t="shared" si="5"/>
        <v>0.002984</v>
      </c>
      <c r="P13" s="3">
        <f t="shared" si="6"/>
        <v>173.04</v>
      </c>
    </row>
    <row r="14">
      <c r="B14" s="1">
        <v>4.069</v>
      </c>
      <c r="C14" s="1">
        <v>0.001</v>
      </c>
      <c r="D14" s="1">
        <v>3.332</v>
      </c>
      <c r="E14" s="1">
        <v>0.001</v>
      </c>
      <c r="F14" s="1">
        <f t="shared" si="1"/>
        <v>0.8188744163</v>
      </c>
      <c r="H14" s="3">
        <f>18.7*0.001</f>
        <v>0.0187</v>
      </c>
      <c r="I14" s="1">
        <v>1.0E-4</v>
      </c>
      <c r="L14" s="3">
        <f t="shared" si="2"/>
        <v>0.001731481481</v>
      </c>
      <c r="M14" s="3">
        <f t="shared" si="3"/>
        <v>0.0000252914952</v>
      </c>
      <c r="N14" s="3">
        <f t="shared" si="4"/>
        <v>0.3332</v>
      </c>
      <c r="O14" s="3">
        <f t="shared" si="5"/>
        <v>0.003432</v>
      </c>
      <c r="P14" s="3">
        <f t="shared" si="6"/>
        <v>192.4363636</v>
      </c>
    </row>
    <row r="15">
      <c r="B15" s="1">
        <v>4.593</v>
      </c>
      <c r="C15" s="1">
        <v>0.001</v>
      </c>
      <c r="D15" s="1">
        <v>3.844</v>
      </c>
      <c r="E15" s="1">
        <v>0.001</v>
      </c>
      <c r="F15" s="1">
        <f t="shared" si="1"/>
        <v>0.8369257566</v>
      </c>
      <c r="H15" s="3">
        <f>25.2*0.001</f>
        <v>0.0252</v>
      </c>
      <c r="I15" s="1">
        <v>1.0E-4</v>
      </c>
      <c r="L15" s="3">
        <f t="shared" si="2"/>
        <v>0.002333333333</v>
      </c>
      <c r="M15" s="3">
        <f t="shared" si="3"/>
        <v>0.00003086419753</v>
      </c>
      <c r="N15" s="3">
        <f t="shared" si="4"/>
        <v>0.3844</v>
      </c>
      <c r="O15" s="3">
        <f t="shared" si="5"/>
        <v>0.003944</v>
      </c>
      <c r="P15" s="3">
        <f t="shared" si="6"/>
        <v>164.7428571</v>
      </c>
    </row>
    <row r="16">
      <c r="A16" s="1" t="s">
        <v>88</v>
      </c>
      <c r="B16" s="1">
        <v>4.52</v>
      </c>
      <c r="C16" s="1">
        <v>0.01</v>
      </c>
      <c r="D16" s="4">
        <v>3.78</v>
      </c>
      <c r="E16" s="1">
        <v>0.01</v>
      </c>
      <c r="F16" s="1">
        <f t="shared" si="1"/>
        <v>0.8362831858</v>
      </c>
      <c r="H16" s="3">
        <f>22.2*0.001</f>
        <v>0.0222</v>
      </c>
      <c r="I16" s="1">
        <v>1.0E-4</v>
      </c>
      <c r="L16" s="3">
        <f t="shared" si="2"/>
        <v>0.002055555556</v>
      </c>
      <c r="M16" s="3">
        <f t="shared" si="3"/>
        <v>0.00002829218107</v>
      </c>
      <c r="N16" s="3">
        <f t="shared" si="4"/>
        <v>0.378</v>
      </c>
      <c r="O16" s="3">
        <f t="shared" si="5"/>
        <v>0.00478</v>
      </c>
      <c r="P16" s="3">
        <f t="shared" si="6"/>
        <v>183.8918919</v>
      </c>
    </row>
    <row r="20">
      <c r="A20" s="1" t="s">
        <v>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6.13"/>
  </cols>
  <sheetData>
    <row r="1">
      <c r="A1" s="5"/>
      <c r="B1" s="5"/>
      <c r="C1" s="6" t="s">
        <v>4</v>
      </c>
      <c r="D1" s="6" t="s">
        <v>4</v>
      </c>
      <c r="E1" s="6" t="s">
        <v>4</v>
      </c>
      <c r="F1" s="6" t="s">
        <v>4</v>
      </c>
      <c r="G1" s="5"/>
      <c r="H1" s="7" t="s">
        <v>90</v>
      </c>
      <c r="I1" s="7" t="s">
        <v>4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 t="s">
        <v>91</v>
      </c>
      <c r="B2" s="5"/>
      <c r="C2" s="9">
        <v>0.1</v>
      </c>
      <c r="D2" s="9">
        <v>0.1</v>
      </c>
      <c r="E2" s="9">
        <v>0.01</v>
      </c>
      <c r="F2" s="9">
        <v>0.01</v>
      </c>
      <c r="G2" s="5"/>
      <c r="H2" s="9">
        <v>10.0</v>
      </c>
      <c r="I2" s="9">
        <v>0.1</v>
      </c>
      <c r="J2" s="5"/>
      <c r="K2" s="9" t="s">
        <v>92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93</v>
      </c>
      <c r="B3" s="7" t="s">
        <v>94</v>
      </c>
      <c r="C3" s="7" t="s">
        <v>79</v>
      </c>
      <c r="D3" s="7" t="s">
        <v>80</v>
      </c>
      <c r="E3" s="7" t="s">
        <v>95</v>
      </c>
      <c r="F3" s="7" t="s">
        <v>78</v>
      </c>
      <c r="G3" s="5"/>
      <c r="H3" s="5"/>
      <c r="I3" s="5"/>
      <c r="J3" s="5"/>
      <c r="K3" s="9" t="s">
        <v>96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>
        <v>-0.0016</v>
      </c>
      <c r="B4" s="9">
        <v>4.013</v>
      </c>
      <c r="C4" s="9">
        <v>7.5</v>
      </c>
      <c r="D4" s="9">
        <v>-7.3</v>
      </c>
      <c r="E4" s="9">
        <v>0.52</v>
      </c>
      <c r="F4" s="9">
        <v>1.23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9" t="s">
        <v>97</v>
      </c>
      <c r="C6" s="5"/>
      <c r="D6" s="9" t="s">
        <v>98</v>
      </c>
      <c r="E6" s="5"/>
      <c r="F6" s="9" t="s">
        <v>99</v>
      </c>
      <c r="G6" s="5"/>
      <c r="H6" s="9" t="s">
        <v>100</v>
      </c>
      <c r="I6" s="9" t="s">
        <v>101</v>
      </c>
      <c r="J6" s="5"/>
      <c r="K6" s="10" t="s">
        <v>102</v>
      </c>
      <c r="L6" s="10" t="s">
        <v>103</v>
      </c>
      <c r="M6" s="10" t="s">
        <v>104</v>
      </c>
      <c r="N6" s="10" t="s">
        <v>105</v>
      </c>
      <c r="O6" s="10" t="s">
        <v>106</v>
      </c>
      <c r="P6" s="10" t="s">
        <v>107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9">
        <v>0.609</v>
      </c>
      <c r="C7" s="5"/>
      <c r="D7" s="9">
        <v>0.021</v>
      </c>
      <c r="E7" s="5"/>
      <c r="F7" s="9">
        <v>3.655</v>
      </c>
      <c r="G7" s="5"/>
      <c r="H7" s="9">
        <v>-0.8</v>
      </c>
      <c r="I7" s="5">
        <f>AVERAGE(H7:H11)</f>
        <v>-0.787</v>
      </c>
      <c r="J7" s="5"/>
      <c r="K7" s="5">
        <f>C4*E4</f>
        <v>3.9</v>
      </c>
      <c r="L7" s="5">
        <f>ABS(D4*F4)</f>
        <v>8.979</v>
      </c>
      <c r="M7" s="5">
        <f>(I7^2)/10+(F7^2)/10</f>
        <v>1.3978394</v>
      </c>
      <c r="N7" s="5">
        <f>C4*B7+I7*(C4/10-B7)-F7^2/10</f>
        <v>3.1206305</v>
      </c>
      <c r="O7" s="5">
        <f>B7*C4+B7*I7</f>
        <v>4.088217</v>
      </c>
      <c r="P7" s="5">
        <f t="shared" ref="P7:P8" si="1">K7+L7</f>
        <v>12.879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9">
        <v>-0.834</v>
      </c>
      <c r="I8" s="5"/>
      <c r="J8" s="11" t="s">
        <v>108</v>
      </c>
      <c r="K8" s="5">
        <f>C4*E2+E4*C2</f>
        <v>0.127</v>
      </c>
      <c r="L8" s="5">
        <f>ABS(D4*F2)+ABS(F4*D2)</f>
        <v>0.196</v>
      </c>
      <c r="M8" s="5">
        <f>ABS((2*0.04/I7)/10)+ABS((2*0.01/F7)/10)</f>
        <v>0.01071237987</v>
      </c>
      <c r="N8" s="5">
        <f>ABS(0.1*B7+I7*(0.1/10))  +  ABS(C4*0.01+I7*(-0.01)) + ABS(2*0.01/(10*F7)) + ABS(0.04*(C4/10-B7))</f>
        <v>0.1420871956</v>
      </c>
      <c r="O8" s="5">
        <f>ABS(0.01*C4+0.01*I7)+ ABS(B7*0.1)+ ABS(+B7*0.04)</f>
        <v>0.15239</v>
      </c>
      <c r="P8" s="5">
        <f t="shared" si="1"/>
        <v>0.323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9">
        <v>-0.759</v>
      </c>
      <c r="I9" s="5"/>
      <c r="J9" s="5"/>
      <c r="K9" s="9" t="s">
        <v>109</v>
      </c>
      <c r="L9" s="9" t="s">
        <v>110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9">
        <v>-0.767</v>
      </c>
      <c r="I10" s="5"/>
      <c r="J10" s="5"/>
      <c r="K10" s="5">
        <f>M7/P7</f>
        <v>0.1085363305</v>
      </c>
      <c r="L10" s="5">
        <f>K10*100</f>
        <v>10.85363305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9">
        <v>-0.775</v>
      </c>
      <c r="I11" s="5"/>
      <c r="J11" s="5"/>
      <c r="K11" s="12">
        <f>0.01/P7+ M7*0.1/(P7*P7)</f>
        <v>0.001619196603</v>
      </c>
      <c r="L11" s="5">
        <f>100*K11</f>
        <v>0.1619196603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6" t="s">
        <v>4</v>
      </c>
      <c r="D14" s="6" t="s">
        <v>4</v>
      </c>
      <c r="E14" s="6" t="s">
        <v>4</v>
      </c>
      <c r="F14" s="6" t="s">
        <v>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">
        <v>111</v>
      </c>
      <c r="B15" s="5"/>
      <c r="C15" s="9">
        <v>0.1</v>
      </c>
      <c r="D15" s="9">
        <v>0.1</v>
      </c>
      <c r="E15" s="9">
        <v>0.01</v>
      </c>
      <c r="F15" s="9">
        <v>0.01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 t="s">
        <v>93</v>
      </c>
      <c r="B16" s="7" t="s">
        <v>94</v>
      </c>
      <c r="C16" s="7" t="s">
        <v>79</v>
      </c>
      <c r="D16" s="7" t="s">
        <v>80</v>
      </c>
      <c r="E16" s="7" t="s">
        <v>95</v>
      </c>
      <c r="F16" s="7" t="s">
        <v>78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>
        <v>-0.041</v>
      </c>
      <c r="B17" s="9">
        <v>2.042</v>
      </c>
      <c r="C17" s="9">
        <v>7.4</v>
      </c>
      <c r="D17" s="9">
        <v>7.2</v>
      </c>
      <c r="E17" s="9">
        <v>0.52</v>
      </c>
      <c r="F17" s="9">
        <v>1.23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9" t="s">
        <v>97</v>
      </c>
      <c r="C19" s="5"/>
      <c r="D19" s="9" t="s">
        <v>98</v>
      </c>
      <c r="E19" s="5"/>
      <c r="F19" s="9" t="s">
        <v>99</v>
      </c>
      <c r="G19" s="5"/>
      <c r="H19" s="9" t="s">
        <v>100</v>
      </c>
      <c r="I19" s="9" t="s">
        <v>101</v>
      </c>
      <c r="J19" s="5"/>
      <c r="K19" s="10" t="s">
        <v>102</v>
      </c>
      <c r="L19" s="10" t="s">
        <v>103</v>
      </c>
      <c r="M19" s="10" t="s">
        <v>104</v>
      </c>
      <c r="N19" s="10" t="s">
        <v>105</v>
      </c>
      <c r="O19" s="10" t="s">
        <v>106</v>
      </c>
      <c r="P19" s="10" t="s">
        <v>107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9">
        <v>0.603</v>
      </c>
      <c r="C20" s="5"/>
      <c r="D20" s="9">
        <v>0.014</v>
      </c>
      <c r="E20" s="5"/>
      <c r="F20" s="9">
        <v>1.833</v>
      </c>
      <c r="G20" s="5"/>
      <c r="H20" s="9">
        <v>-0.83</v>
      </c>
      <c r="I20" s="5">
        <f>AVERAGE(H20:H24)</f>
        <v>-0.8284</v>
      </c>
      <c r="J20" s="5"/>
      <c r="K20" s="5">
        <f t="shared" ref="K20:L20" si="2">C17*E17</f>
        <v>3.848</v>
      </c>
      <c r="L20" s="5">
        <f t="shared" si="2"/>
        <v>8.856</v>
      </c>
      <c r="M20" s="5">
        <f>(I20^2)/10+(F20^2)/10</f>
        <v>0.404613556</v>
      </c>
      <c r="N20" s="5">
        <f>C17*B20+I20*(C17/10-B20)-F20^2/10</f>
        <v>4.0127203</v>
      </c>
      <c r="O20" s="5">
        <f>B20*C17+B20*I20</f>
        <v>3.9626748</v>
      </c>
      <c r="P20" s="5">
        <f t="shared" ref="P20:P21" si="3">K20+L20</f>
        <v>12.704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9">
        <v>-0.815</v>
      </c>
      <c r="I21" s="5"/>
      <c r="J21" s="11" t="s">
        <v>108</v>
      </c>
      <c r="K21" s="5">
        <f>C17*E15+E17*C15</f>
        <v>0.126</v>
      </c>
      <c r="L21" s="5">
        <f>ABS(D17*F15)+ABS(F17*D15)</f>
        <v>0.195</v>
      </c>
      <c r="M21" s="5">
        <f>ABS((2*0.04/I20)/10)+ABS((2*0.01/F20)/10)</f>
        <v>0.01074827792</v>
      </c>
      <c r="N21" s="5">
        <f>ABS(0.1*B20+I20*(0.1/10))  +  ABS(C17*0.01+I20*(-0.01)) + ABS(2*0.01/(10*F20)) + ABS(0.04*(C17/10-B20))</f>
        <v>0.1408711075</v>
      </c>
      <c r="O21" s="5">
        <f>ABS(0.01*C17+0.01*I20)+ ABS(B20*0.1)+ ABS(+B20*0.04)</f>
        <v>0.150136</v>
      </c>
      <c r="P21" s="5">
        <f t="shared" si="3"/>
        <v>0.321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9">
        <v>-0.82</v>
      </c>
      <c r="I22" s="5"/>
      <c r="J22" s="5"/>
      <c r="K22" s="9" t="s">
        <v>109</v>
      </c>
      <c r="L22" s="9" t="s">
        <v>110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9">
        <v>-0.85</v>
      </c>
      <c r="I23" s="5"/>
      <c r="J23" s="5"/>
      <c r="K23" s="5">
        <f>M20/P20</f>
        <v>0.03184930384</v>
      </c>
      <c r="L23" s="5">
        <f>K23*100</f>
        <v>3.184930384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9">
        <v>-0.827</v>
      </c>
      <c r="I24" s="5"/>
      <c r="J24" s="5"/>
      <c r="K24" s="12">
        <f>0.01/P20+ M20*0.1/(P20*P20)</f>
        <v>0.001037856611</v>
      </c>
      <c r="L24" s="5">
        <f>100*K24</f>
        <v>0.1037856611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6.13"/>
  </cols>
  <sheetData>
    <row r="1">
      <c r="A1" s="5"/>
      <c r="B1" s="5"/>
      <c r="C1" s="6" t="s">
        <v>4</v>
      </c>
      <c r="D1" s="6" t="s">
        <v>4</v>
      </c>
      <c r="E1" s="6" t="s">
        <v>4</v>
      </c>
      <c r="F1" s="6" t="s">
        <v>4</v>
      </c>
      <c r="G1" s="5"/>
      <c r="H1" s="7" t="s">
        <v>90</v>
      </c>
      <c r="I1" s="7" t="s">
        <v>4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 t="s">
        <v>91</v>
      </c>
      <c r="B2" s="5"/>
      <c r="C2" s="9">
        <v>0.1</v>
      </c>
      <c r="D2" s="9">
        <v>0.1</v>
      </c>
      <c r="E2" s="9">
        <v>0.01</v>
      </c>
      <c r="F2" s="9">
        <v>0.01</v>
      </c>
      <c r="G2" s="5"/>
      <c r="H2" s="9">
        <v>9.8</v>
      </c>
      <c r="I2" s="9">
        <v>0.1</v>
      </c>
      <c r="J2" s="5"/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93</v>
      </c>
      <c r="B3" s="7" t="s">
        <v>94</v>
      </c>
      <c r="C3" s="7" t="s">
        <v>79</v>
      </c>
      <c r="D3" s="7" t="s">
        <v>80</v>
      </c>
      <c r="E3" s="7" t="s">
        <v>95</v>
      </c>
      <c r="F3" s="7" t="s">
        <v>78</v>
      </c>
      <c r="G3" s="5"/>
      <c r="H3" s="5"/>
      <c r="I3" s="5"/>
      <c r="J3" s="5"/>
      <c r="K3" s="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>
        <v>-0.0016</v>
      </c>
      <c r="B4" s="9">
        <v>4.013</v>
      </c>
      <c r="C4" s="9">
        <v>7.5</v>
      </c>
      <c r="D4" s="9">
        <v>7.3</v>
      </c>
      <c r="E4" s="9">
        <v>0.52</v>
      </c>
      <c r="F4" s="9">
        <v>1.23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10" t="s">
        <v>97</v>
      </c>
      <c r="C6" s="6" t="s">
        <v>4</v>
      </c>
      <c r="D6" s="10" t="s">
        <v>98</v>
      </c>
      <c r="E6" s="6" t="s">
        <v>4</v>
      </c>
      <c r="F6" s="10" t="s">
        <v>99</v>
      </c>
      <c r="G6" s="11" t="s">
        <v>4</v>
      </c>
      <c r="H6" s="10" t="s">
        <v>100</v>
      </c>
      <c r="I6" s="10" t="s">
        <v>101</v>
      </c>
      <c r="J6" s="5"/>
      <c r="K6" s="10" t="s">
        <v>102</v>
      </c>
      <c r="L6" s="10" t="s">
        <v>103</v>
      </c>
      <c r="M6" s="10" t="s">
        <v>104</v>
      </c>
      <c r="N6" s="10" t="s">
        <v>105</v>
      </c>
      <c r="O6" s="10" t="s">
        <v>106</v>
      </c>
      <c r="P6" s="10" t="s">
        <v>107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9">
        <v>0.609</v>
      </c>
      <c r="C7" s="9">
        <v>0.001</v>
      </c>
      <c r="D7" s="9">
        <v>0.021</v>
      </c>
      <c r="E7" s="9">
        <v>0.001</v>
      </c>
      <c r="F7" s="9">
        <v>3.655</v>
      </c>
      <c r="G7" s="9">
        <v>0.001</v>
      </c>
      <c r="H7" s="9">
        <v>-0.8</v>
      </c>
      <c r="I7" s="5">
        <f>ABS(AVERAGE(H7:H11))</f>
        <v>0.787</v>
      </c>
      <c r="J7" s="5"/>
      <c r="K7" s="5">
        <f>C4*E4</f>
        <v>3.9</v>
      </c>
      <c r="L7" s="5">
        <f>ABS(D4*F4)</f>
        <v>8.979</v>
      </c>
      <c r="M7" s="5">
        <f>(I7+F7)^2/$H$2</f>
        <v>2.01340449</v>
      </c>
      <c r="N7" s="5">
        <f>C4*B7+I7*(C4/$H$2-B7)-I7^2/$H$2-F7^2/$H$2</f>
        <v>3.264146184</v>
      </c>
      <c r="O7" s="5">
        <f>B7*(D4+I7)</f>
        <v>4.924983</v>
      </c>
      <c r="P7" s="5">
        <f t="shared" ref="P7:P8" si="1">K7+L7</f>
        <v>12.879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9">
        <v>-0.834</v>
      </c>
      <c r="I8" s="11" t="s">
        <v>4</v>
      </c>
      <c r="J8" s="11" t="s">
        <v>108</v>
      </c>
      <c r="K8" s="5">
        <f>C4*E2+E4*C2</f>
        <v>0.127</v>
      </c>
      <c r="L8" s="5">
        <f>ABS(D4*F2)+ABS(F4*D2)</f>
        <v>0.196</v>
      </c>
      <c r="M8" s="5">
        <f>(2*(I7+F7)*I9)/$H$2+(2*(I7+F7)*G7)/$H$2+((I7+F7)^2*$I$2)/$H$2^2</f>
        <v>0.022358005</v>
      </c>
      <c r="N8" s="5">
        <f>ABS(B7+I7/$H$2)*C2+ABS(C4-I7)*C7+ABS(C4/$H$2-2*I7/$H$2)*I9+ABS(-I7*C4/$H$2^2+I7^2/$H$2^2+F7^2/$H$2^2)*$I$2+ABS(2*F7/$H$2)*G7</f>
        <v>0.08540311037</v>
      </c>
      <c r="O8" s="5">
        <f>C7*(D4+I7)+B7*D2+B7*I9</f>
        <v>0.069596</v>
      </c>
      <c r="P8" s="5">
        <f t="shared" si="1"/>
        <v>0.323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9">
        <v>-0.759</v>
      </c>
      <c r="I9" s="9">
        <v>0.001</v>
      </c>
      <c r="J9" s="5"/>
      <c r="K9" s="13" t="s">
        <v>109</v>
      </c>
      <c r="L9" s="13" t="s">
        <v>110</v>
      </c>
      <c r="M9" s="11" t="s">
        <v>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9">
        <v>-0.767</v>
      </c>
      <c r="I10" s="5"/>
      <c r="J10" s="5"/>
      <c r="K10" s="5">
        <f>M7/P7</f>
        <v>0.156332362</v>
      </c>
      <c r="L10" s="5">
        <f>K10*100</f>
        <v>15.6332362</v>
      </c>
      <c r="M10" s="14">
        <f>M8/P7+P8*M7/P7^2</f>
        <v>0.005656755797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9">
        <v>-0.775</v>
      </c>
      <c r="I11" s="5"/>
      <c r="J11" s="5"/>
      <c r="K11" s="1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6" t="s">
        <v>4</v>
      </c>
      <c r="D14" s="6" t="s">
        <v>4</v>
      </c>
      <c r="E14" s="6" t="s">
        <v>4</v>
      </c>
      <c r="F14" s="6" t="s">
        <v>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">
        <v>111</v>
      </c>
      <c r="B15" s="5"/>
      <c r="C15" s="9">
        <v>0.1</v>
      </c>
      <c r="D15" s="9">
        <v>0.1</v>
      </c>
      <c r="E15" s="9">
        <v>0.01</v>
      </c>
      <c r="F15" s="9">
        <v>0.01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 t="s">
        <v>93</v>
      </c>
      <c r="B16" s="7" t="s">
        <v>94</v>
      </c>
      <c r="C16" s="7" t="s">
        <v>79</v>
      </c>
      <c r="D16" s="7" t="s">
        <v>80</v>
      </c>
      <c r="E16" s="7" t="s">
        <v>95</v>
      </c>
      <c r="F16" s="7" t="s">
        <v>78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9">
        <v>-0.041</v>
      </c>
      <c r="B17" s="9">
        <v>2.042</v>
      </c>
      <c r="C17" s="9">
        <v>7.4</v>
      </c>
      <c r="D17" s="9">
        <v>7.2</v>
      </c>
      <c r="E17" s="9">
        <v>0.52</v>
      </c>
      <c r="F17" s="9">
        <v>1.23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10" t="s">
        <v>97</v>
      </c>
      <c r="C19" s="6" t="s">
        <v>4</v>
      </c>
      <c r="D19" s="10" t="s">
        <v>98</v>
      </c>
      <c r="E19" s="6" t="s">
        <v>4</v>
      </c>
      <c r="F19" s="10" t="s">
        <v>99</v>
      </c>
      <c r="G19" s="11" t="s">
        <v>4</v>
      </c>
      <c r="H19" s="10" t="s">
        <v>100</v>
      </c>
      <c r="I19" s="10" t="s">
        <v>101</v>
      </c>
      <c r="J19" s="5"/>
      <c r="K19" s="10" t="s">
        <v>102</v>
      </c>
      <c r="L19" s="10" t="s">
        <v>103</v>
      </c>
      <c r="M19" s="10" t="s">
        <v>104</v>
      </c>
      <c r="N19" s="10" t="s">
        <v>105</v>
      </c>
      <c r="O19" s="10" t="s">
        <v>106</v>
      </c>
      <c r="P19" s="10" t="s">
        <v>107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9">
        <v>0.603</v>
      </c>
      <c r="C20" s="9">
        <v>0.001</v>
      </c>
      <c r="D20" s="9">
        <v>0.014</v>
      </c>
      <c r="E20" s="9">
        <v>0.001</v>
      </c>
      <c r="F20" s="9">
        <v>1.833</v>
      </c>
      <c r="G20" s="9">
        <v>0.001</v>
      </c>
      <c r="H20" s="9">
        <v>-0.83</v>
      </c>
      <c r="I20" s="5">
        <f>ABS(AVERAGE(H20:H24))</f>
        <v>0.8284</v>
      </c>
      <c r="J20" s="5"/>
      <c r="K20" s="5">
        <f t="shared" ref="K20:L20" si="2">C17*E17</f>
        <v>3.848</v>
      </c>
      <c r="L20" s="5">
        <f t="shared" si="2"/>
        <v>8.856</v>
      </c>
      <c r="M20" s="5">
        <f>(I20+F20)^2/$H$2</f>
        <v>0.7227602</v>
      </c>
      <c r="N20" s="5">
        <f>C17*B20+I20*(C17/$H$2-B20)-I20^2/$H$2-F20^2/$H$2</f>
        <v>4.175330355</v>
      </c>
      <c r="O20" s="5">
        <f>B20*(D17+I20)</f>
        <v>4.8411252</v>
      </c>
      <c r="P20" s="5">
        <f t="shared" ref="P20:P21" si="3">K20+L20</f>
        <v>12.704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9">
        <v>-0.815</v>
      </c>
      <c r="I21" s="11" t="s">
        <v>4</v>
      </c>
      <c r="J21" s="11" t="s">
        <v>108</v>
      </c>
      <c r="K21" s="5">
        <f>C17*E15+E17*C15</f>
        <v>0.126</v>
      </c>
      <c r="L21" s="5">
        <f>ABS(D17*F15)+ABS(F17*D15)</f>
        <v>0.195</v>
      </c>
      <c r="M21" s="5">
        <f>(2*(I20+F20)*I22)/$H$2+(2*(I20+F20)*G20)/$H$2+((I20+F20)^2*$I$2)/$H$2^2</f>
        <v>0.008461389796</v>
      </c>
      <c r="N21" s="5">
        <f>ABS(B20+I20/$H$2)*C15+ABS(C17-I20)*C20+ABS(C17/$H$2-2*I20/$H$2)*I22+ABS(-I20*C17/$H$2^2+I20^2/$H$2^2+F20^2/$H$2^2)*$I$2+ABS(2*F20/$H$2)*G20</f>
        <v>0.07845473832</v>
      </c>
      <c r="O21" s="5">
        <f>C20*(D17+I20)+B20*D15+B20*I22</f>
        <v>0.0689314</v>
      </c>
      <c r="P21" s="5">
        <f t="shared" si="3"/>
        <v>0.321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9">
        <v>-0.82</v>
      </c>
      <c r="I22" s="9">
        <v>0.001</v>
      </c>
      <c r="J22" s="5"/>
      <c r="K22" s="13" t="s">
        <v>109</v>
      </c>
      <c r="L22" s="13" t="s">
        <v>110</v>
      </c>
      <c r="M22" s="11" t="s">
        <v>4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9">
        <v>-0.85</v>
      </c>
      <c r="I23" s="5"/>
      <c r="J23" s="5"/>
      <c r="K23" s="5">
        <f>M20/P20</f>
        <v>0.05689233312</v>
      </c>
      <c r="L23" s="5">
        <f>K23*100</f>
        <v>5.689233312</v>
      </c>
      <c r="M23" s="14">
        <f>M21/P20+P21*M20/P20^2</f>
        <v>0.002103575939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9">
        <v>-0.827</v>
      </c>
      <c r="I24" s="5"/>
      <c r="J24" s="5"/>
      <c r="K24" s="1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63"/>
    <col customWidth="1" min="11" max="12" width="15.25"/>
  </cols>
  <sheetData>
    <row r="1">
      <c r="A1" s="5"/>
      <c r="B1" s="15" t="s">
        <v>112</v>
      </c>
      <c r="C1" s="6" t="s">
        <v>4</v>
      </c>
      <c r="D1" s="15" t="s">
        <v>113</v>
      </c>
      <c r="E1" s="6" t="s">
        <v>4</v>
      </c>
      <c r="F1" s="15" t="s">
        <v>79</v>
      </c>
      <c r="G1" s="6" t="s">
        <v>4</v>
      </c>
      <c r="H1" s="15" t="s">
        <v>114</v>
      </c>
      <c r="I1" s="6" t="s">
        <v>4</v>
      </c>
      <c r="J1" s="15" t="s">
        <v>80</v>
      </c>
      <c r="K1" s="6" t="s">
        <v>4</v>
      </c>
      <c r="L1" s="15" t="s">
        <v>115</v>
      </c>
      <c r="M1" s="6" t="s">
        <v>4</v>
      </c>
      <c r="N1" s="5"/>
      <c r="O1" s="5"/>
      <c r="P1" s="5"/>
      <c r="Q1" s="5"/>
      <c r="R1" s="5"/>
      <c r="S1" s="9" t="s">
        <v>89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5"/>
      <c r="B2" s="9">
        <v>10.3</v>
      </c>
      <c r="C2" s="9">
        <v>0.1</v>
      </c>
      <c r="D2" s="9">
        <v>9.8</v>
      </c>
      <c r="E2" s="9">
        <v>0.1</v>
      </c>
      <c r="F2" s="9">
        <v>7.1</v>
      </c>
      <c r="G2" s="9">
        <v>0.1</v>
      </c>
      <c r="H2" s="9">
        <v>0.55</v>
      </c>
      <c r="I2" s="9">
        <v>0.01</v>
      </c>
      <c r="J2" s="9">
        <v>-6.9</v>
      </c>
      <c r="K2" s="9">
        <v>0.1</v>
      </c>
      <c r="L2" s="9">
        <v>1.2</v>
      </c>
      <c r="M2" s="9">
        <v>0.1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>
      <c r="A4" s="6" t="s">
        <v>4</v>
      </c>
      <c r="B4" s="15" t="s">
        <v>116</v>
      </c>
      <c r="C4" s="15" t="s">
        <v>117</v>
      </c>
      <c r="D4" s="15" t="s">
        <v>118</v>
      </c>
      <c r="E4" s="9"/>
      <c r="F4" s="9"/>
      <c r="G4" s="9"/>
      <c r="H4" s="10" t="s">
        <v>119</v>
      </c>
      <c r="I4" s="6" t="s">
        <v>4</v>
      </c>
      <c r="J4" s="10" t="s">
        <v>120</v>
      </c>
      <c r="K4" s="6" t="s">
        <v>4</v>
      </c>
      <c r="L4" s="10" t="s">
        <v>121</v>
      </c>
      <c r="M4" s="6" t="s">
        <v>4</v>
      </c>
      <c r="N4" s="10" t="s">
        <v>122</v>
      </c>
      <c r="O4" s="6" t="s">
        <v>4</v>
      </c>
      <c r="P4" s="7" t="s">
        <v>123</v>
      </c>
      <c r="Q4" s="6" t="s">
        <v>4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>
      <c r="A5" s="9">
        <v>0.001</v>
      </c>
      <c r="B5" s="9">
        <v>4.291</v>
      </c>
      <c r="C5" s="9">
        <v>3.96</v>
      </c>
      <c r="D5" s="5">
        <f>C5/5</f>
        <v>0.792</v>
      </c>
      <c r="E5" s="9"/>
      <c r="F5" s="5"/>
      <c r="G5" s="9"/>
      <c r="H5" s="9">
        <v>0.81</v>
      </c>
      <c r="I5" s="9">
        <v>0.01</v>
      </c>
      <c r="J5" s="9">
        <v>0.005</v>
      </c>
      <c r="K5" s="9">
        <v>1.0E-4</v>
      </c>
      <c r="L5" s="5">
        <f>J5/B2</f>
        <v>0.0004854368932</v>
      </c>
      <c r="M5" s="9">
        <f>K5/B2+(C2*J5)/B2^2</f>
        <v>0.00001442171741</v>
      </c>
      <c r="N5" s="9">
        <v>0.9</v>
      </c>
      <c r="O5" s="9">
        <v>0.01</v>
      </c>
      <c r="P5" s="5">
        <f>N5/L5</f>
        <v>1854</v>
      </c>
      <c r="Q5" s="5">
        <f>O5/L5+(N5*M5)/L5^2</f>
        <v>75.68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>
        <f t="shared" ref="L6:M6" si="1">L5*1000</f>
        <v>0.4854368932</v>
      </c>
      <c r="M6" s="5">
        <f t="shared" si="1"/>
        <v>0.01442171741</v>
      </c>
      <c r="N6" s="5"/>
      <c r="O6" s="5"/>
      <c r="P6" s="5">
        <f t="shared" ref="P6:Q6" si="2">P5*0.001</f>
        <v>1.854</v>
      </c>
      <c r="Q6" s="5">
        <f t="shared" si="2"/>
        <v>0.07568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>
      <c r="A7" s="5"/>
      <c r="B7" s="16" t="s">
        <v>124</v>
      </c>
      <c r="C7" s="16"/>
      <c r="D7" s="5"/>
      <c r="E7" s="5"/>
      <c r="F7" s="5"/>
      <c r="G7" s="5"/>
      <c r="H7" s="5"/>
      <c r="I7" s="5"/>
      <c r="J7" s="5"/>
      <c r="K7" s="5"/>
      <c r="L7" s="9" t="s">
        <v>125</v>
      </c>
      <c r="M7" s="9" t="s">
        <v>125</v>
      </c>
      <c r="N7" s="5"/>
      <c r="O7" s="5"/>
      <c r="P7" s="9" t="s">
        <v>126</v>
      </c>
      <c r="Q7" s="9" t="s">
        <v>126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>
      <c r="A8" s="5"/>
      <c r="B8" s="10" t="s">
        <v>127</v>
      </c>
      <c r="C8" s="6" t="s">
        <v>4</v>
      </c>
      <c r="D8" s="10" t="s">
        <v>128</v>
      </c>
      <c r="E8" s="6" t="s">
        <v>4</v>
      </c>
      <c r="F8" s="5"/>
      <c r="G8" s="5"/>
      <c r="H8" s="5"/>
      <c r="I8" s="5"/>
      <c r="J8" s="7" t="s">
        <v>129</v>
      </c>
      <c r="K8" s="6" t="s">
        <v>4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>
      <c r="A9" s="5"/>
      <c r="B9" s="9">
        <v>9.9</v>
      </c>
      <c r="C9" s="9">
        <v>0.1</v>
      </c>
      <c r="D9" s="9">
        <v>0.818</v>
      </c>
      <c r="E9" s="9">
        <v>0.001</v>
      </c>
      <c r="F9" s="5"/>
      <c r="G9" s="5"/>
      <c r="H9" s="5"/>
      <c r="I9" s="5"/>
      <c r="J9" s="5">
        <f>(D12-D9)/((D9/B9)-(D12/B12))</f>
        <v>2.257575852</v>
      </c>
      <c r="K9" s="5">
        <f>(B9*B12*D9*(B9-B12)*E9)/(B12*D9-B9*D12)^2+(B9*B12*D12*(B9-B12)*E12)/(B12*D9-B9*D12)^2+(B12^2*D9*(D9-D12)*C9)/(B12*D9-B9*D12)^2+(B9^2*D12*(D9-D12)*C12)/(B12*D9-B9*D12)^2</f>
        <v>0.1755111766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>
      <c r="A11" s="5"/>
      <c r="B11" s="10" t="s">
        <v>130</v>
      </c>
      <c r="C11" s="6" t="s">
        <v>4</v>
      </c>
      <c r="D11" s="10" t="s">
        <v>131</v>
      </c>
      <c r="E11" s="6" t="s">
        <v>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>
      <c r="A12" s="5"/>
      <c r="B12" s="9">
        <v>3.2</v>
      </c>
      <c r="C12" s="9">
        <v>0.1</v>
      </c>
      <c r="D12" s="9">
        <v>0.589</v>
      </c>
      <c r="E12" s="9">
        <v>0.001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63"/>
    <col customWidth="1" min="7" max="8" width="21.0"/>
  </cols>
  <sheetData>
    <row r="1">
      <c r="A1" s="17" t="s">
        <v>132</v>
      </c>
      <c r="B1" s="18" t="s">
        <v>4</v>
      </c>
      <c r="C1" s="19"/>
      <c r="D1" s="19"/>
      <c r="E1" s="20" t="s">
        <v>133</v>
      </c>
      <c r="F1" s="20" t="s">
        <v>113</v>
      </c>
      <c r="G1" s="20" t="s">
        <v>134</v>
      </c>
      <c r="H1" s="20"/>
      <c r="I1" s="19"/>
      <c r="J1" s="21" t="s">
        <v>135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>
      <c r="A2" s="19">
        <f>D!B5/5</f>
        <v>0.8582</v>
      </c>
      <c r="B2" s="21">
        <f>D!A5/5</f>
        <v>0.0002</v>
      </c>
      <c r="C2" s="21"/>
      <c r="D2" s="21"/>
      <c r="E2" s="21">
        <v>0.853</v>
      </c>
      <c r="F2" s="21">
        <v>9.9</v>
      </c>
      <c r="G2" s="21">
        <v>46.9</v>
      </c>
      <c r="H2" s="21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>
      <c r="A3" s="19"/>
      <c r="B3" s="19"/>
      <c r="C3" s="19"/>
      <c r="D3" s="18" t="s">
        <v>136</v>
      </c>
      <c r="E3" s="21">
        <v>0.001</v>
      </c>
      <c r="F3" s="21">
        <v>0.1</v>
      </c>
      <c r="G3" s="21">
        <v>0.1</v>
      </c>
      <c r="H3" s="21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21" t="s">
        <v>137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>
      <c r="A6" s="22" t="s">
        <v>138</v>
      </c>
      <c r="B6" s="22" t="s">
        <v>139</v>
      </c>
      <c r="C6" s="18" t="s">
        <v>140</v>
      </c>
      <c r="D6" s="18" t="s">
        <v>141</v>
      </c>
      <c r="E6" s="17" t="s">
        <v>122</v>
      </c>
      <c r="F6" s="18" t="s">
        <v>4</v>
      </c>
      <c r="G6" s="17" t="s">
        <v>85</v>
      </c>
      <c r="H6" s="18" t="s">
        <v>4</v>
      </c>
      <c r="I6" s="19"/>
      <c r="J6" s="22" t="s">
        <v>138</v>
      </c>
      <c r="K6" s="17" t="s">
        <v>142</v>
      </c>
      <c r="L6" s="18" t="s">
        <v>4</v>
      </c>
      <c r="M6" s="17" t="s">
        <v>86</v>
      </c>
      <c r="N6" s="18" t="s">
        <v>4</v>
      </c>
      <c r="O6" s="21"/>
      <c r="P6" s="23" t="s">
        <v>143</v>
      </c>
      <c r="Q6" s="18" t="s">
        <v>4</v>
      </c>
      <c r="R6" s="23" t="s">
        <v>144</v>
      </c>
      <c r="S6" s="18" t="s">
        <v>4</v>
      </c>
      <c r="T6" s="23" t="s">
        <v>145</v>
      </c>
      <c r="U6" s="18" t="s">
        <v>4</v>
      </c>
      <c r="V6" s="19"/>
      <c r="W6" s="21" t="s">
        <v>146</v>
      </c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>
      <c r="A7" s="21">
        <v>322.0</v>
      </c>
      <c r="B7" s="21">
        <f t="shared" ref="B7:B18" si="2">LOG(A7)</f>
        <v>2.507855872</v>
      </c>
      <c r="C7" s="21">
        <v>1.0</v>
      </c>
      <c r="D7" s="21">
        <f t="shared" ref="D7:D18" si="3">C7/(LN(10)*A7)</f>
        <v>0.001348740627</v>
      </c>
      <c r="E7" s="21">
        <f>20.5*0.001</f>
        <v>0.0205</v>
      </c>
      <c r="F7" s="21">
        <v>1.0E-4</v>
      </c>
      <c r="G7" s="19">
        <f t="shared" ref="G7:G18" si="4">E7/$G$2</f>
        <v>0.0004371002132</v>
      </c>
      <c r="H7" s="19">
        <f t="shared" ref="H7:H18" si="5">F7/$G$2+(E7*$G$3)/$G$2^2</f>
        <v>0.000003064179559</v>
      </c>
      <c r="I7" s="19"/>
      <c r="J7" s="21">
        <v>321.0</v>
      </c>
      <c r="K7" s="21">
        <v>2.77</v>
      </c>
      <c r="L7" s="21">
        <v>0.01</v>
      </c>
      <c r="M7" s="19">
        <f t="shared" ref="M7:M18" si="6">K7/$F$2</f>
        <v>0.2797979798</v>
      </c>
      <c r="N7" s="19">
        <f t="shared" ref="N7:N18" si="7">L7/$F$2+(K7*$F$3)/$F$2^2</f>
        <v>0.00383634323</v>
      </c>
      <c r="O7" s="19"/>
      <c r="P7" s="19">
        <f t="shared" ref="P7:P18" si="8">M7/G7</f>
        <v>640.1231831</v>
      </c>
      <c r="Q7" s="19">
        <f t="shared" ref="Q7:Q18" si="9">N7/G7+(M7*H7)/G7^2</f>
        <v>13.26422506</v>
      </c>
      <c r="R7" s="19">
        <f t="shared" ref="R7:R18" si="10">LOG(P7)</f>
        <v>2.806263556</v>
      </c>
      <c r="S7" s="19">
        <f t="shared" ref="S7:S18" si="11">Q7/(LN(10)*P7)</f>
        <v>0.008999173759</v>
      </c>
      <c r="T7" s="19">
        <f t="shared" ref="T7:U7" si="1">20*R7</f>
        <v>56.12527112</v>
      </c>
      <c r="U7" s="21">
        <f t="shared" si="1"/>
        <v>0.1799834752</v>
      </c>
      <c r="V7" s="19"/>
      <c r="W7" s="19">
        <f t="shared" ref="W7:W18" si="13">A7</f>
        <v>322</v>
      </c>
      <c r="X7" s="19">
        <f t="shared" ref="X7:X18" si="14">T7</f>
        <v>56.12527112</v>
      </c>
      <c r="Y7" s="19"/>
      <c r="Z7" s="19"/>
      <c r="AA7" s="19"/>
      <c r="AB7" s="19"/>
      <c r="AC7" s="19"/>
      <c r="AD7" s="19"/>
      <c r="AE7" s="19"/>
      <c r="AF7" s="19"/>
      <c r="AG7" s="19"/>
    </row>
    <row r="8">
      <c r="A8" s="21">
        <v>1034.0</v>
      </c>
      <c r="B8" s="21">
        <f t="shared" si="2"/>
        <v>3.014520539</v>
      </c>
      <c r="C8" s="21">
        <v>1.0</v>
      </c>
      <c r="D8" s="21">
        <f t="shared" si="3"/>
        <v>0.0004200140057</v>
      </c>
      <c r="E8" s="19">
        <f>28.1*0.001</f>
        <v>0.0281</v>
      </c>
      <c r="F8" s="21">
        <v>1.0E-4</v>
      </c>
      <c r="G8" s="19">
        <f t="shared" si="4"/>
        <v>0.0005991471215</v>
      </c>
      <c r="H8" s="19">
        <f t="shared" si="5"/>
        <v>0.000003409695355</v>
      </c>
      <c r="I8" s="19"/>
      <c r="J8" s="21">
        <v>1037.0</v>
      </c>
      <c r="K8" s="21">
        <v>2.7</v>
      </c>
      <c r="L8" s="21">
        <v>0.01</v>
      </c>
      <c r="M8" s="19">
        <f t="shared" si="6"/>
        <v>0.2727272727</v>
      </c>
      <c r="N8" s="19">
        <f t="shared" si="7"/>
        <v>0.003764921947</v>
      </c>
      <c r="O8" s="19"/>
      <c r="P8" s="19">
        <f t="shared" si="8"/>
        <v>455.1924943</v>
      </c>
      <c r="Q8" s="19">
        <f t="shared" si="9"/>
        <v>8.874263915</v>
      </c>
      <c r="R8" s="19">
        <f t="shared" si="10"/>
        <v>2.658195092</v>
      </c>
      <c r="S8" s="19">
        <f t="shared" si="11"/>
        <v>0.008466844021</v>
      </c>
      <c r="T8" s="19">
        <f t="shared" ref="T8:U8" si="12">20*R8</f>
        <v>53.16390185</v>
      </c>
      <c r="U8" s="21">
        <f t="shared" si="12"/>
        <v>0.1693368804</v>
      </c>
      <c r="V8" s="19"/>
      <c r="W8" s="19">
        <f t="shared" si="13"/>
        <v>1034</v>
      </c>
      <c r="X8" s="19">
        <f t="shared" si="14"/>
        <v>53.16390185</v>
      </c>
      <c r="Y8" s="19"/>
      <c r="Z8" s="19"/>
      <c r="AA8" s="19"/>
      <c r="AB8" s="19"/>
      <c r="AC8" s="19"/>
      <c r="AD8" s="19"/>
      <c r="AE8" s="19"/>
      <c r="AF8" s="19"/>
      <c r="AG8" s="19"/>
    </row>
    <row r="9">
      <c r="A9" s="21">
        <v>5063.0</v>
      </c>
      <c r="B9" s="21">
        <f t="shared" si="2"/>
        <v>3.704407927</v>
      </c>
      <c r="C9" s="21">
        <v>1.0</v>
      </c>
      <c r="D9" s="21">
        <f t="shared" si="3"/>
        <v>0.00008577809242</v>
      </c>
      <c r="E9" s="19">
        <f>30.3*0.001</f>
        <v>0.0303</v>
      </c>
      <c r="F9" s="21">
        <v>1.0E-4</v>
      </c>
      <c r="G9" s="19">
        <f t="shared" si="4"/>
        <v>0.0006460554371</v>
      </c>
      <c r="H9" s="19">
        <f t="shared" si="5"/>
        <v>0.000003509713086</v>
      </c>
      <c r="I9" s="19"/>
      <c r="J9" s="21">
        <v>5059.0</v>
      </c>
      <c r="K9" s="21">
        <v>2.71</v>
      </c>
      <c r="L9" s="21">
        <v>0.01</v>
      </c>
      <c r="M9" s="19">
        <f t="shared" si="6"/>
        <v>0.2737373737</v>
      </c>
      <c r="N9" s="19">
        <f t="shared" si="7"/>
        <v>0.003775124987</v>
      </c>
      <c r="O9" s="19"/>
      <c r="P9" s="19">
        <f t="shared" si="8"/>
        <v>423.7057039</v>
      </c>
      <c r="Q9" s="19">
        <f t="shared" si="9"/>
        <v>8.145137613</v>
      </c>
      <c r="R9" s="19">
        <f t="shared" si="10"/>
        <v>2.62706431</v>
      </c>
      <c r="S9" s="19">
        <f t="shared" si="11"/>
        <v>0.008348691762</v>
      </c>
      <c r="T9" s="19">
        <f t="shared" ref="T9:U9" si="15">20*R9</f>
        <v>52.54128621</v>
      </c>
      <c r="U9" s="21">
        <f t="shared" si="15"/>
        <v>0.1669738352</v>
      </c>
      <c r="V9" s="19"/>
      <c r="W9" s="19">
        <f t="shared" si="13"/>
        <v>5063</v>
      </c>
      <c r="X9" s="19">
        <f t="shared" si="14"/>
        <v>52.54128621</v>
      </c>
      <c r="Y9" s="19"/>
      <c r="Z9" s="19"/>
      <c r="AA9" s="19"/>
      <c r="AB9" s="19"/>
      <c r="AC9" s="19"/>
      <c r="AD9" s="19"/>
      <c r="AE9" s="19"/>
      <c r="AF9" s="19"/>
      <c r="AG9" s="19"/>
    </row>
    <row r="10">
      <c r="A10" s="21">
        <v>9975.0</v>
      </c>
      <c r="B10" s="21">
        <f t="shared" si="2"/>
        <v>3.998912904</v>
      </c>
      <c r="C10" s="21">
        <v>1.0</v>
      </c>
      <c r="D10" s="21">
        <f t="shared" si="3"/>
        <v>0.00004353829393</v>
      </c>
      <c r="E10" s="19">
        <f>30.5*0.001</f>
        <v>0.0305</v>
      </c>
      <c r="F10" s="21">
        <v>1.0E-4</v>
      </c>
      <c r="G10" s="19">
        <f t="shared" si="4"/>
        <v>0.0006503198294</v>
      </c>
      <c r="H10" s="19">
        <f t="shared" si="5"/>
        <v>0.000003518805606</v>
      </c>
      <c r="I10" s="19"/>
      <c r="J10" s="21">
        <v>9950.0</v>
      </c>
      <c r="K10" s="21">
        <v>2.69</v>
      </c>
      <c r="L10" s="21">
        <v>0.01</v>
      </c>
      <c r="M10" s="19">
        <f t="shared" si="6"/>
        <v>0.2717171717</v>
      </c>
      <c r="N10" s="19">
        <f t="shared" si="7"/>
        <v>0.003754718906</v>
      </c>
      <c r="O10" s="19"/>
      <c r="P10" s="19">
        <f t="shared" si="8"/>
        <v>417.8208313</v>
      </c>
      <c r="Q10" s="19">
        <f t="shared" si="9"/>
        <v>8.034430066</v>
      </c>
      <c r="R10" s="19">
        <f t="shared" si="10"/>
        <v>2.620990089</v>
      </c>
      <c r="S10" s="19">
        <f t="shared" si="11"/>
        <v>0.008351207938</v>
      </c>
      <c r="T10" s="19">
        <f t="shared" ref="T10:U10" si="16">20*R10</f>
        <v>52.41980178</v>
      </c>
      <c r="U10" s="21">
        <f t="shared" si="16"/>
        <v>0.1670241588</v>
      </c>
      <c r="V10" s="19"/>
      <c r="W10" s="19">
        <f t="shared" si="13"/>
        <v>9975</v>
      </c>
      <c r="X10" s="19">
        <f t="shared" si="14"/>
        <v>52.41980178</v>
      </c>
      <c r="Y10" s="19"/>
      <c r="Z10" s="19"/>
      <c r="AA10" s="19"/>
      <c r="AB10" s="19"/>
      <c r="AC10" s="19"/>
      <c r="AD10" s="19"/>
      <c r="AE10" s="19"/>
      <c r="AF10" s="19"/>
      <c r="AG10" s="19"/>
    </row>
    <row r="11">
      <c r="A11" s="21">
        <v>24992.0</v>
      </c>
      <c r="B11" s="21">
        <f t="shared" si="2"/>
        <v>4.397801012</v>
      </c>
      <c r="C11" s="21">
        <v>1.0</v>
      </c>
      <c r="D11" s="21">
        <f t="shared" si="3"/>
        <v>0.00001737734002</v>
      </c>
      <c r="E11" s="19">
        <f>33.8*0.001</f>
        <v>0.0338</v>
      </c>
      <c r="F11" s="21">
        <v>1.0E-4</v>
      </c>
      <c r="G11" s="19">
        <f t="shared" si="4"/>
        <v>0.0007206823028</v>
      </c>
      <c r="H11" s="19">
        <f t="shared" si="5"/>
        <v>0.000003668832202</v>
      </c>
      <c r="I11" s="19"/>
      <c r="J11" s="21">
        <v>24994.0</v>
      </c>
      <c r="K11" s="21">
        <v>2.7</v>
      </c>
      <c r="L11" s="21">
        <v>0.01</v>
      </c>
      <c r="M11" s="19">
        <f t="shared" si="6"/>
        <v>0.2727272727</v>
      </c>
      <c r="N11" s="19">
        <f t="shared" si="7"/>
        <v>0.003764921947</v>
      </c>
      <c r="O11" s="19"/>
      <c r="P11" s="19">
        <f t="shared" si="8"/>
        <v>378.429263</v>
      </c>
      <c r="Q11" s="19">
        <f t="shared" si="9"/>
        <v>7.150606298</v>
      </c>
      <c r="R11" s="19">
        <f t="shared" si="10"/>
        <v>2.577984712</v>
      </c>
      <c r="S11" s="19">
        <f t="shared" si="11"/>
        <v>0.008206206974</v>
      </c>
      <c r="T11" s="19">
        <f t="shared" ref="T11:U11" si="17">20*R11</f>
        <v>51.55969424</v>
      </c>
      <c r="U11" s="21">
        <f t="shared" si="17"/>
        <v>0.1641241395</v>
      </c>
      <c r="V11" s="19"/>
      <c r="W11" s="19">
        <f t="shared" si="13"/>
        <v>24992</v>
      </c>
      <c r="X11" s="19">
        <f t="shared" si="14"/>
        <v>51.55969424</v>
      </c>
      <c r="Y11" s="19"/>
      <c r="Z11" s="19"/>
      <c r="AA11" s="19"/>
      <c r="AB11" s="19"/>
      <c r="AC11" s="19"/>
      <c r="AD11" s="19"/>
      <c r="AE11" s="19"/>
      <c r="AF11" s="19"/>
      <c r="AG11" s="19"/>
    </row>
    <row r="12">
      <c r="A12" s="21">
        <v>49887.0</v>
      </c>
      <c r="B12" s="21">
        <f t="shared" si="2"/>
        <v>4.697987388</v>
      </c>
      <c r="C12" s="21">
        <v>1.0</v>
      </c>
      <c r="D12" s="21">
        <f t="shared" si="3"/>
        <v>0.000008705564213</v>
      </c>
      <c r="E12" s="19">
        <f>36.1*0.001</f>
        <v>0.0361</v>
      </c>
      <c r="F12" s="21">
        <v>1.0E-4</v>
      </c>
      <c r="G12" s="19">
        <f t="shared" si="4"/>
        <v>0.0007697228145</v>
      </c>
      <c r="H12" s="19">
        <f t="shared" si="5"/>
        <v>0.000003773396193</v>
      </c>
      <c r="I12" s="19"/>
      <c r="J12" s="21">
        <v>49822.0</v>
      </c>
      <c r="K12" s="21">
        <v>2.7</v>
      </c>
      <c r="L12" s="21">
        <v>0.01</v>
      </c>
      <c r="M12" s="19">
        <f t="shared" si="6"/>
        <v>0.2727272727</v>
      </c>
      <c r="N12" s="19">
        <f t="shared" si="7"/>
        <v>0.003764921947</v>
      </c>
      <c r="O12" s="19"/>
      <c r="P12" s="19">
        <f t="shared" si="8"/>
        <v>354.3188114</v>
      </c>
      <c r="Q12" s="19">
        <f t="shared" si="9"/>
        <v>6.628239549</v>
      </c>
      <c r="R12" s="19">
        <f t="shared" si="10"/>
        <v>2.54939421</v>
      </c>
      <c r="S12" s="19">
        <f t="shared" si="11"/>
        <v>0.008124343863</v>
      </c>
      <c r="T12" s="19">
        <f t="shared" ref="T12:U12" si="18">20*R12</f>
        <v>50.98788421</v>
      </c>
      <c r="U12" s="21">
        <f t="shared" si="18"/>
        <v>0.1624868773</v>
      </c>
      <c r="V12" s="19"/>
      <c r="W12" s="19">
        <f t="shared" si="13"/>
        <v>49887</v>
      </c>
      <c r="X12" s="19">
        <f t="shared" si="14"/>
        <v>50.98788421</v>
      </c>
      <c r="Y12" s="19"/>
      <c r="Z12" s="19"/>
      <c r="AA12" s="19"/>
      <c r="AB12" s="19"/>
      <c r="AC12" s="19"/>
      <c r="AD12" s="19"/>
      <c r="AE12" s="19"/>
      <c r="AF12" s="19"/>
      <c r="AG12" s="19"/>
    </row>
    <row r="13">
      <c r="A13" s="21">
        <v>100380.0</v>
      </c>
      <c r="B13" s="21">
        <f t="shared" si="2"/>
        <v>5.001647191</v>
      </c>
      <c r="C13" s="21">
        <v>10.0</v>
      </c>
      <c r="D13" s="21">
        <f t="shared" si="3"/>
        <v>0.00004326504103</v>
      </c>
      <c r="E13" s="19">
        <f>44.6*0.001</f>
        <v>0.0446</v>
      </c>
      <c r="F13" s="21">
        <v>1.0E-4</v>
      </c>
      <c r="G13" s="19">
        <f t="shared" si="4"/>
        <v>0.0009509594883</v>
      </c>
      <c r="H13" s="19">
        <f t="shared" si="5"/>
        <v>0.000004159828333</v>
      </c>
      <c r="I13" s="19"/>
      <c r="J13" s="21">
        <v>100310.0</v>
      </c>
      <c r="K13" s="21">
        <v>2.69</v>
      </c>
      <c r="L13" s="21">
        <v>0.01</v>
      </c>
      <c r="M13" s="19">
        <f t="shared" si="6"/>
        <v>0.2717171717</v>
      </c>
      <c r="N13" s="19">
        <f t="shared" si="7"/>
        <v>0.003754718906</v>
      </c>
      <c r="O13" s="19"/>
      <c r="P13" s="19">
        <f t="shared" si="8"/>
        <v>285.7294922</v>
      </c>
      <c r="Q13" s="19">
        <f t="shared" si="9"/>
        <v>5.198228321</v>
      </c>
      <c r="R13" s="19">
        <f t="shared" si="10"/>
        <v>2.455955069</v>
      </c>
      <c r="S13" s="19">
        <f t="shared" si="11"/>
        <v>0.007901046048</v>
      </c>
      <c r="T13" s="19">
        <f t="shared" ref="T13:U13" si="19">20*R13</f>
        <v>49.11910139</v>
      </c>
      <c r="U13" s="21">
        <f t="shared" si="19"/>
        <v>0.158020921</v>
      </c>
      <c r="V13" s="19"/>
      <c r="W13" s="19">
        <f t="shared" si="13"/>
        <v>100380</v>
      </c>
      <c r="X13" s="19">
        <f t="shared" si="14"/>
        <v>49.11910139</v>
      </c>
      <c r="Y13" s="19"/>
      <c r="Z13" s="19"/>
      <c r="AA13" s="19"/>
      <c r="AB13" s="19"/>
      <c r="AC13" s="19"/>
      <c r="AD13" s="19"/>
      <c r="AE13" s="19"/>
      <c r="AF13" s="19"/>
      <c r="AG13" s="19"/>
    </row>
    <row r="14">
      <c r="A14" s="21">
        <v>199680.0</v>
      </c>
      <c r="B14" s="21">
        <f t="shared" si="2"/>
        <v>5.300334568</v>
      </c>
      <c r="C14" s="21">
        <v>10.0</v>
      </c>
      <c r="D14" s="21">
        <f t="shared" si="3"/>
        <v>0.00002174952333</v>
      </c>
      <c r="E14" s="19">
        <f>70.8*0.001</f>
        <v>0.0708</v>
      </c>
      <c r="F14" s="21">
        <v>1.0E-4</v>
      </c>
      <c r="G14" s="19">
        <f t="shared" si="4"/>
        <v>0.001509594883</v>
      </c>
      <c r="H14" s="19">
        <f t="shared" si="5"/>
        <v>0.000005350948577</v>
      </c>
      <c r="I14" s="19"/>
      <c r="J14" s="21">
        <v>199440.0</v>
      </c>
      <c r="K14" s="21">
        <v>2.69</v>
      </c>
      <c r="L14" s="21">
        <v>0.01</v>
      </c>
      <c r="M14" s="19">
        <f t="shared" si="6"/>
        <v>0.2717171717</v>
      </c>
      <c r="N14" s="19">
        <f t="shared" si="7"/>
        <v>0.003754718906</v>
      </c>
      <c r="O14" s="19"/>
      <c r="P14" s="19">
        <f t="shared" si="8"/>
        <v>179.9934372</v>
      </c>
      <c r="Q14" s="19">
        <f t="shared" si="9"/>
        <v>3.125245446</v>
      </c>
      <c r="R14" s="19">
        <f t="shared" si="10"/>
        <v>2.25525667</v>
      </c>
      <c r="S14" s="19">
        <f t="shared" si="11"/>
        <v>0.007540701889</v>
      </c>
      <c r="T14" s="19">
        <f t="shared" ref="T14:U14" si="20">20*R14</f>
        <v>45.10513341</v>
      </c>
      <c r="U14" s="21">
        <f t="shared" si="20"/>
        <v>0.1508140378</v>
      </c>
      <c r="V14" s="19"/>
      <c r="W14" s="19">
        <f t="shared" si="13"/>
        <v>199680</v>
      </c>
      <c r="X14" s="19">
        <f t="shared" si="14"/>
        <v>45.10513341</v>
      </c>
      <c r="Y14" s="19"/>
      <c r="Z14" s="19"/>
      <c r="AA14" s="19"/>
      <c r="AB14" s="19"/>
      <c r="AC14" s="19"/>
      <c r="AD14" s="19"/>
      <c r="AE14" s="19"/>
      <c r="AF14" s="19"/>
      <c r="AG14" s="19"/>
    </row>
    <row r="15">
      <c r="A15" s="21">
        <v>300450.0</v>
      </c>
      <c r="B15" s="21">
        <f t="shared" si="2"/>
        <v>5.477772208</v>
      </c>
      <c r="C15" s="21">
        <v>10.0</v>
      </c>
      <c r="D15" s="21">
        <f t="shared" si="3"/>
        <v>0.00001445480053</v>
      </c>
      <c r="E15" s="19">
        <f>102*0.001</f>
        <v>0.102</v>
      </c>
      <c r="F15" s="24">
        <v>0.001</v>
      </c>
      <c r="G15" s="19">
        <f t="shared" si="4"/>
        <v>0.002174840085</v>
      </c>
      <c r="H15" s="19">
        <f t="shared" si="5"/>
        <v>0.0000259591473</v>
      </c>
      <c r="I15" s="19"/>
      <c r="J15" s="21">
        <v>300910.0</v>
      </c>
      <c r="K15" s="21">
        <v>2.71</v>
      </c>
      <c r="L15" s="21">
        <v>0.01</v>
      </c>
      <c r="M15" s="19">
        <f t="shared" si="6"/>
        <v>0.2737373737</v>
      </c>
      <c r="N15" s="19">
        <f t="shared" si="7"/>
        <v>0.003775124987</v>
      </c>
      <c r="O15" s="19"/>
      <c r="P15" s="19">
        <f t="shared" si="8"/>
        <v>125.8655179</v>
      </c>
      <c r="Q15" s="19">
        <f t="shared" si="9"/>
        <v>3.238162914</v>
      </c>
      <c r="R15" s="19">
        <f t="shared" si="10"/>
        <v>2.099906767</v>
      </c>
      <c r="S15" s="19">
        <f t="shared" si="11"/>
        <v>0.01117316568</v>
      </c>
      <c r="T15" s="19">
        <f t="shared" ref="T15:U15" si="21">20*R15</f>
        <v>41.99813534</v>
      </c>
      <c r="U15" s="21">
        <f t="shared" si="21"/>
        <v>0.2234633136</v>
      </c>
      <c r="V15" s="19"/>
      <c r="W15" s="19">
        <f t="shared" si="13"/>
        <v>300450</v>
      </c>
      <c r="X15" s="19">
        <f t="shared" si="14"/>
        <v>41.99813534</v>
      </c>
      <c r="Y15" s="19"/>
      <c r="Z15" s="19"/>
      <c r="AA15" s="19"/>
      <c r="AB15" s="19"/>
      <c r="AC15" s="19"/>
      <c r="AD15" s="19"/>
      <c r="AE15" s="19"/>
      <c r="AF15" s="19"/>
      <c r="AG15" s="19"/>
    </row>
    <row r="16">
      <c r="A16" s="21">
        <v>398570.0</v>
      </c>
      <c r="B16" s="21">
        <f t="shared" si="2"/>
        <v>5.600504607</v>
      </c>
      <c r="C16" s="21">
        <v>10.0</v>
      </c>
      <c r="D16" s="21">
        <f t="shared" si="3"/>
        <v>0.00001089631638</v>
      </c>
      <c r="E16" s="19">
        <f>135*0.001</f>
        <v>0.135</v>
      </c>
      <c r="F16" s="24">
        <v>0.001</v>
      </c>
      <c r="G16" s="19">
        <f t="shared" si="4"/>
        <v>0.002878464819</v>
      </c>
      <c r="H16" s="19">
        <f t="shared" si="5"/>
        <v>0.00002745941326</v>
      </c>
      <c r="I16" s="19"/>
      <c r="J16" s="21">
        <v>398360.0</v>
      </c>
      <c r="K16" s="21">
        <v>2.72</v>
      </c>
      <c r="L16" s="21">
        <v>0.01</v>
      </c>
      <c r="M16" s="19">
        <f t="shared" si="6"/>
        <v>0.2747474747</v>
      </c>
      <c r="N16" s="19">
        <f t="shared" si="7"/>
        <v>0.003785328028</v>
      </c>
      <c r="O16" s="19"/>
      <c r="P16" s="19">
        <f t="shared" si="8"/>
        <v>95.44930789</v>
      </c>
      <c r="Q16" s="19">
        <f t="shared" si="9"/>
        <v>2.225599555</v>
      </c>
      <c r="R16" s="19">
        <f t="shared" si="10"/>
        <v>1.979772784</v>
      </c>
      <c r="S16" s="19">
        <f t="shared" si="11"/>
        <v>0.01012648103</v>
      </c>
      <c r="T16" s="19">
        <f t="shared" ref="T16:U16" si="22">20*R16</f>
        <v>39.59545567</v>
      </c>
      <c r="U16" s="21">
        <f t="shared" si="22"/>
        <v>0.2025296206</v>
      </c>
      <c r="V16" s="19"/>
      <c r="W16" s="19">
        <f t="shared" si="13"/>
        <v>398570</v>
      </c>
      <c r="X16" s="19">
        <f t="shared" si="14"/>
        <v>39.59545567</v>
      </c>
      <c r="Y16" s="19"/>
      <c r="Z16" s="19"/>
      <c r="AA16" s="19"/>
      <c r="AB16" s="19"/>
      <c r="AC16" s="19"/>
      <c r="AD16" s="19"/>
      <c r="AE16" s="19"/>
      <c r="AF16" s="19"/>
      <c r="AG16" s="19"/>
    </row>
    <row r="17">
      <c r="A17" s="21">
        <v>499400.0</v>
      </c>
      <c r="B17" s="21">
        <f t="shared" si="2"/>
        <v>5.698448538</v>
      </c>
      <c r="C17" s="21">
        <v>10.0</v>
      </c>
      <c r="D17" s="21">
        <f t="shared" si="3"/>
        <v>0.000008696325228</v>
      </c>
      <c r="E17" s="19">
        <f>179*0.001</f>
        <v>0.179</v>
      </c>
      <c r="F17" s="24">
        <v>0.001</v>
      </c>
      <c r="G17" s="19">
        <f t="shared" si="4"/>
        <v>0.00381663113</v>
      </c>
      <c r="H17" s="19">
        <f t="shared" si="5"/>
        <v>0.00002945976787</v>
      </c>
      <c r="I17" s="19"/>
      <c r="J17" s="21">
        <v>499770.0</v>
      </c>
      <c r="K17" s="21">
        <v>2.76</v>
      </c>
      <c r="L17" s="21">
        <v>0.01</v>
      </c>
      <c r="M17" s="19">
        <f t="shared" si="6"/>
        <v>0.2787878788</v>
      </c>
      <c r="N17" s="19">
        <f t="shared" si="7"/>
        <v>0.00382614019</v>
      </c>
      <c r="O17" s="19"/>
      <c r="P17" s="19">
        <f t="shared" si="8"/>
        <v>73.04553919</v>
      </c>
      <c r="Q17" s="19">
        <f t="shared" si="9"/>
        <v>1.566314536</v>
      </c>
      <c r="R17" s="19">
        <f t="shared" si="10"/>
        <v>1.863593699</v>
      </c>
      <c r="S17" s="19">
        <f t="shared" si="11"/>
        <v>0.009312570863</v>
      </c>
      <c r="T17" s="19">
        <f t="shared" ref="T17:U17" si="23">20*R17</f>
        <v>37.27187398</v>
      </c>
      <c r="U17" s="21">
        <f t="shared" si="23"/>
        <v>0.1862514173</v>
      </c>
      <c r="V17" s="19"/>
      <c r="W17" s="19">
        <f t="shared" si="13"/>
        <v>499400</v>
      </c>
      <c r="X17" s="19">
        <f t="shared" si="14"/>
        <v>37.27187398</v>
      </c>
      <c r="Y17" s="19"/>
      <c r="Z17" s="19"/>
      <c r="AA17" s="19"/>
      <c r="AB17" s="19"/>
      <c r="AC17" s="19"/>
      <c r="AD17" s="19"/>
      <c r="AE17" s="19"/>
      <c r="AF17" s="19"/>
      <c r="AG17" s="19"/>
    </row>
    <row r="18">
      <c r="A18" s="21">
        <v>750000.0</v>
      </c>
      <c r="B18" s="21">
        <f t="shared" si="2"/>
        <v>5.875061263</v>
      </c>
      <c r="C18" s="21">
        <v>1000.0</v>
      </c>
      <c r="D18" s="21">
        <f t="shared" si="3"/>
        <v>0.0005790593092</v>
      </c>
      <c r="E18" s="19">
        <f>293*0.001</f>
        <v>0.293</v>
      </c>
      <c r="F18" s="24">
        <v>0.001</v>
      </c>
      <c r="G18" s="19">
        <f t="shared" si="4"/>
        <v>0.006247334755</v>
      </c>
      <c r="H18" s="19">
        <f t="shared" si="5"/>
        <v>0.00003464250481</v>
      </c>
      <c r="I18" s="19"/>
      <c r="J18" s="21">
        <v>740900.0</v>
      </c>
      <c r="K18" s="21">
        <v>2.96</v>
      </c>
      <c r="L18" s="21">
        <v>0.01</v>
      </c>
      <c r="M18" s="19">
        <f t="shared" si="6"/>
        <v>0.298989899</v>
      </c>
      <c r="N18" s="19">
        <f t="shared" si="7"/>
        <v>0.004030201</v>
      </c>
      <c r="O18" s="19"/>
      <c r="P18" s="19">
        <f t="shared" si="8"/>
        <v>47.85879271</v>
      </c>
      <c r="Q18" s="19">
        <f t="shared" si="9"/>
        <v>0.9104921826</v>
      </c>
      <c r="R18" s="19">
        <f t="shared" si="10"/>
        <v>1.679961739</v>
      </c>
      <c r="S18" s="19">
        <f t="shared" si="11"/>
        <v>0.00826225879</v>
      </c>
      <c r="T18" s="19">
        <f t="shared" ref="T18:U18" si="24">20*R18</f>
        <v>33.59923478</v>
      </c>
      <c r="U18" s="21">
        <f t="shared" si="24"/>
        <v>0.1652451758</v>
      </c>
      <c r="V18" s="19"/>
      <c r="W18" s="19">
        <f t="shared" si="13"/>
        <v>750000</v>
      </c>
      <c r="X18" s="19">
        <f t="shared" si="14"/>
        <v>33.59923478</v>
      </c>
      <c r="Y18" s="19"/>
      <c r="Z18" s="19"/>
      <c r="AA18" s="19"/>
      <c r="AB18" s="19"/>
      <c r="AC18" s="19"/>
      <c r="AD18" s="19"/>
      <c r="AE18" s="19"/>
      <c r="AF18" s="19"/>
      <c r="AG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1"/>
      <c r="P19" s="21"/>
      <c r="Q19" s="21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>
      <c r="A20" s="19"/>
      <c r="B20" s="19"/>
      <c r="C20" s="19"/>
      <c r="D20" s="19"/>
      <c r="E20" s="19"/>
      <c r="F20" s="19"/>
      <c r="G20" s="17" t="s">
        <v>147</v>
      </c>
      <c r="H20" s="18" t="s">
        <v>4</v>
      </c>
      <c r="I20" s="19"/>
      <c r="J20" s="19"/>
      <c r="K20" s="19"/>
      <c r="L20" s="19"/>
      <c r="M20" s="17" t="s">
        <v>148</v>
      </c>
      <c r="N20" s="18" t="s">
        <v>4</v>
      </c>
      <c r="O20" s="19"/>
      <c r="P20" s="19"/>
      <c r="Q20" s="19"/>
      <c r="R20" s="19"/>
      <c r="S20" s="19"/>
      <c r="T20" s="19"/>
      <c r="U20" s="19"/>
      <c r="V20" s="19"/>
      <c r="W20" s="21"/>
      <c r="X20" s="25"/>
      <c r="Y20" s="19"/>
      <c r="Z20" s="19"/>
      <c r="AA20" s="19"/>
      <c r="AB20" s="19"/>
      <c r="AC20" s="19"/>
      <c r="AD20" s="19"/>
      <c r="AE20" s="19"/>
      <c r="AF20" s="19"/>
      <c r="AG20" s="19"/>
    </row>
    <row r="21">
      <c r="A21" s="19"/>
      <c r="B21" s="19"/>
      <c r="C21" s="19"/>
      <c r="D21" s="19"/>
      <c r="E21" s="19"/>
      <c r="F21" s="19"/>
      <c r="G21" s="19">
        <f t="shared" ref="G21:H21" si="25">G7*1000</f>
        <v>0.4371002132</v>
      </c>
      <c r="H21" s="19">
        <f t="shared" si="25"/>
        <v>0.003064179559</v>
      </c>
      <c r="I21" s="19"/>
      <c r="J21" s="19"/>
      <c r="K21" s="19"/>
      <c r="L21" s="19"/>
      <c r="M21" s="19">
        <f t="shared" ref="M21:N21" si="26">M7*1000</f>
        <v>279.7979798</v>
      </c>
      <c r="N21" s="19">
        <f t="shared" si="26"/>
        <v>3.83634323</v>
      </c>
      <c r="O21" s="19"/>
      <c r="P21" s="19"/>
      <c r="Q21" s="19"/>
      <c r="R21" s="19"/>
      <c r="S21" s="19"/>
      <c r="T21" s="19"/>
      <c r="U21" s="19"/>
      <c r="V21" s="19"/>
      <c r="W21" s="21"/>
      <c r="X21" s="25"/>
      <c r="Y21" s="19"/>
      <c r="Z21" s="19"/>
      <c r="AA21" s="19"/>
      <c r="AB21" s="19"/>
      <c r="AC21" s="19"/>
      <c r="AD21" s="19"/>
      <c r="AE21" s="19"/>
      <c r="AF21" s="19"/>
      <c r="AG21" s="19"/>
    </row>
    <row r="22">
      <c r="A22" s="19"/>
      <c r="B22" s="19"/>
      <c r="C22" s="19"/>
      <c r="D22" s="19"/>
      <c r="E22" s="19"/>
      <c r="F22" s="19"/>
      <c r="G22" s="19">
        <f t="shared" ref="G22:H22" si="27">G8*1000</f>
        <v>0.5991471215</v>
      </c>
      <c r="H22" s="19">
        <f t="shared" si="27"/>
        <v>0.003409695355</v>
      </c>
      <c r="I22" s="19"/>
      <c r="J22" s="19"/>
      <c r="K22" s="19"/>
      <c r="L22" s="19"/>
      <c r="M22" s="19">
        <f t="shared" ref="M22:N22" si="28">M8*1000</f>
        <v>272.7272727</v>
      </c>
      <c r="N22" s="19">
        <f t="shared" si="28"/>
        <v>3.764921947</v>
      </c>
      <c r="O22" s="19"/>
      <c r="P22" s="19"/>
      <c r="Q22" s="19"/>
      <c r="R22" s="19"/>
      <c r="S22" s="19"/>
      <c r="T22" s="19"/>
      <c r="U22" s="19"/>
      <c r="V22" s="19"/>
      <c r="W22" s="21"/>
      <c r="X22" s="25"/>
      <c r="Y22" s="19"/>
      <c r="Z22" s="19"/>
      <c r="AA22" s="19"/>
      <c r="AB22" s="19"/>
      <c r="AC22" s="19"/>
      <c r="AD22" s="19"/>
      <c r="AE22" s="19"/>
      <c r="AF22" s="19"/>
      <c r="AG22" s="19"/>
    </row>
    <row r="23">
      <c r="A23" s="19"/>
      <c r="B23" s="19"/>
      <c r="C23" s="19"/>
      <c r="D23" s="19"/>
      <c r="E23" s="19"/>
      <c r="F23" s="19"/>
      <c r="G23" s="19">
        <f t="shared" ref="G23:H23" si="29">G9*1000</f>
        <v>0.6460554371</v>
      </c>
      <c r="H23" s="19">
        <f t="shared" si="29"/>
        <v>0.003509713086</v>
      </c>
      <c r="I23" s="19"/>
      <c r="J23" s="19"/>
      <c r="K23" s="19"/>
      <c r="L23" s="19"/>
      <c r="M23" s="19">
        <f t="shared" ref="M23:N23" si="30">M9*1000</f>
        <v>273.7373737</v>
      </c>
      <c r="N23" s="19">
        <f t="shared" si="30"/>
        <v>3.775124987</v>
      </c>
      <c r="O23" s="19"/>
      <c r="P23" s="19"/>
      <c r="Q23" s="19"/>
      <c r="R23" s="19"/>
      <c r="S23" s="19"/>
      <c r="T23" s="19"/>
      <c r="U23" s="19"/>
      <c r="V23" s="19"/>
      <c r="W23" s="21"/>
      <c r="X23" s="25"/>
      <c r="Y23" s="19"/>
      <c r="Z23" s="19"/>
      <c r="AA23" s="19"/>
      <c r="AB23" s="19"/>
      <c r="AC23" s="19"/>
      <c r="AD23" s="19"/>
      <c r="AE23" s="19"/>
      <c r="AF23" s="19"/>
      <c r="AG23" s="19"/>
    </row>
    <row r="24">
      <c r="A24" s="19"/>
      <c r="B24" s="19"/>
      <c r="C24" s="19"/>
      <c r="D24" s="19"/>
      <c r="E24" s="19"/>
      <c r="F24" s="19"/>
      <c r="G24" s="19">
        <f t="shared" ref="G24:H24" si="31">G10*1000</f>
        <v>0.6503198294</v>
      </c>
      <c r="H24" s="19">
        <f t="shared" si="31"/>
        <v>0.003518805606</v>
      </c>
      <c r="I24" s="19"/>
      <c r="J24" s="19"/>
      <c r="K24" s="19"/>
      <c r="L24" s="19"/>
      <c r="M24" s="19">
        <f t="shared" ref="M24:N24" si="32">M10*1000</f>
        <v>271.7171717</v>
      </c>
      <c r="N24" s="19">
        <f t="shared" si="32"/>
        <v>3.754718906</v>
      </c>
      <c r="O24" s="19"/>
      <c r="P24" s="19"/>
      <c r="Q24" s="19"/>
      <c r="R24" s="19"/>
      <c r="S24" s="19"/>
      <c r="T24" s="19"/>
      <c r="U24" s="19"/>
      <c r="V24" s="19"/>
      <c r="W24" s="21"/>
      <c r="X24" s="25"/>
      <c r="Y24" s="19"/>
      <c r="Z24" s="19"/>
      <c r="AA24" s="19"/>
      <c r="AB24" s="19"/>
      <c r="AC24" s="19"/>
      <c r="AD24" s="19"/>
      <c r="AE24" s="19"/>
      <c r="AF24" s="19"/>
      <c r="AG24" s="19"/>
    </row>
    <row r="25">
      <c r="A25" s="19"/>
      <c r="B25" s="19"/>
      <c r="C25" s="19"/>
      <c r="D25" s="19"/>
      <c r="E25" s="19"/>
      <c r="F25" s="19"/>
      <c r="G25" s="19">
        <f t="shared" ref="G25:H25" si="33">G11*1000</f>
        <v>0.7206823028</v>
      </c>
      <c r="H25" s="19">
        <f t="shared" si="33"/>
        <v>0.003668832202</v>
      </c>
      <c r="I25" s="19"/>
      <c r="J25" s="19"/>
      <c r="K25" s="19"/>
      <c r="L25" s="19"/>
      <c r="M25" s="19">
        <f t="shared" ref="M25:N25" si="34">M11*1000</f>
        <v>272.7272727</v>
      </c>
      <c r="N25" s="19">
        <f t="shared" si="34"/>
        <v>3.764921947</v>
      </c>
      <c r="O25" s="19"/>
      <c r="P25" s="19"/>
      <c r="Q25" s="19"/>
      <c r="R25" s="19"/>
      <c r="S25" s="19"/>
      <c r="T25" s="19"/>
      <c r="U25" s="19"/>
      <c r="V25" s="19"/>
      <c r="W25" s="21"/>
      <c r="X25" s="25"/>
      <c r="Y25" s="19"/>
      <c r="Z25" s="19"/>
      <c r="AA25" s="19"/>
      <c r="AB25" s="19"/>
      <c r="AC25" s="19"/>
      <c r="AD25" s="19"/>
      <c r="AE25" s="19"/>
      <c r="AF25" s="19"/>
      <c r="AG25" s="19"/>
    </row>
    <row r="26">
      <c r="A26" s="19"/>
      <c r="B26" s="19"/>
      <c r="C26" s="19"/>
      <c r="D26" s="19"/>
      <c r="E26" s="19"/>
      <c r="F26" s="19"/>
      <c r="G26" s="19">
        <f t="shared" ref="G26:H26" si="35">G12*1000</f>
        <v>0.7697228145</v>
      </c>
      <c r="H26" s="19">
        <f t="shared" si="35"/>
        <v>0.003773396193</v>
      </c>
      <c r="I26" s="19"/>
      <c r="J26" s="19"/>
      <c r="K26" s="19"/>
      <c r="L26" s="19"/>
      <c r="M26" s="19">
        <f t="shared" ref="M26:N26" si="36">M12*1000</f>
        <v>272.7272727</v>
      </c>
      <c r="N26" s="19">
        <f t="shared" si="36"/>
        <v>3.764921947</v>
      </c>
      <c r="O26" s="19"/>
      <c r="P26" s="19"/>
      <c r="Q26" s="19"/>
      <c r="R26" s="19"/>
      <c r="S26" s="19"/>
      <c r="T26" s="19"/>
      <c r="U26" s="19"/>
      <c r="V26" s="19"/>
      <c r="W26" s="21"/>
      <c r="X26" s="25"/>
      <c r="Y26" s="19"/>
      <c r="Z26" s="19"/>
      <c r="AA26" s="19"/>
      <c r="AB26" s="19"/>
      <c r="AC26" s="19"/>
      <c r="AD26" s="19"/>
      <c r="AE26" s="19"/>
      <c r="AF26" s="19"/>
      <c r="AG26" s="19"/>
    </row>
    <row r="27">
      <c r="A27" s="19"/>
      <c r="B27" s="19"/>
      <c r="C27" s="19"/>
      <c r="D27" s="19"/>
      <c r="E27" s="19"/>
      <c r="F27" s="19"/>
      <c r="G27" s="19">
        <f t="shared" ref="G27:H27" si="37">G13*1000</f>
        <v>0.9509594883</v>
      </c>
      <c r="H27" s="19">
        <f t="shared" si="37"/>
        <v>0.004159828333</v>
      </c>
      <c r="I27" s="19"/>
      <c r="J27" s="19"/>
      <c r="K27" s="19"/>
      <c r="L27" s="19"/>
      <c r="M27" s="19">
        <f t="shared" ref="M27:N27" si="38">M13*1000</f>
        <v>271.7171717</v>
      </c>
      <c r="N27" s="19">
        <f t="shared" si="38"/>
        <v>3.754718906</v>
      </c>
      <c r="O27" s="19"/>
      <c r="P27" s="19"/>
      <c r="Q27" s="19"/>
      <c r="R27" s="19"/>
      <c r="S27" s="19"/>
      <c r="T27" s="19"/>
      <c r="U27" s="19"/>
      <c r="V27" s="19"/>
      <c r="W27" s="21"/>
      <c r="X27" s="25"/>
      <c r="Y27" s="19"/>
      <c r="Z27" s="19"/>
      <c r="AA27" s="19"/>
      <c r="AB27" s="19"/>
      <c r="AC27" s="19"/>
      <c r="AD27" s="19"/>
      <c r="AE27" s="19"/>
      <c r="AF27" s="19"/>
      <c r="AG27" s="19"/>
    </row>
    <row r="28">
      <c r="A28" s="19"/>
      <c r="B28" s="19"/>
      <c r="C28" s="19"/>
      <c r="D28" s="19"/>
      <c r="E28" s="19"/>
      <c r="F28" s="19"/>
      <c r="G28" s="19">
        <f t="shared" ref="G28:H28" si="39">G14*1000</f>
        <v>1.509594883</v>
      </c>
      <c r="H28" s="19">
        <f t="shared" si="39"/>
        <v>0.005350948577</v>
      </c>
      <c r="I28" s="19"/>
      <c r="J28" s="19"/>
      <c r="K28" s="19"/>
      <c r="L28" s="19"/>
      <c r="M28" s="19">
        <f t="shared" ref="M28:N28" si="40">M14*1000</f>
        <v>271.7171717</v>
      </c>
      <c r="N28" s="19">
        <f t="shared" si="40"/>
        <v>3.754718906</v>
      </c>
      <c r="O28" s="19"/>
      <c r="P28" s="19"/>
      <c r="Q28" s="19"/>
      <c r="R28" s="19"/>
      <c r="S28" s="19"/>
      <c r="T28" s="19"/>
      <c r="U28" s="19"/>
      <c r="V28" s="19"/>
      <c r="W28" s="21"/>
      <c r="X28" s="25"/>
      <c r="Y28" s="19"/>
      <c r="Z28" s="19"/>
      <c r="AA28" s="19"/>
      <c r="AB28" s="19"/>
      <c r="AC28" s="19"/>
      <c r="AD28" s="19"/>
      <c r="AE28" s="19"/>
      <c r="AF28" s="19"/>
      <c r="AG28" s="19"/>
    </row>
    <row r="29">
      <c r="A29" s="19"/>
      <c r="B29" s="19"/>
      <c r="C29" s="19"/>
      <c r="D29" s="19"/>
      <c r="E29" s="19"/>
      <c r="F29" s="19"/>
      <c r="G29" s="19">
        <f t="shared" ref="G29:H29" si="41">G15*1000</f>
        <v>2.174840085</v>
      </c>
      <c r="H29" s="19">
        <f t="shared" si="41"/>
        <v>0.0259591473</v>
      </c>
      <c r="I29" s="19"/>
      <c r="J29" s="19"/>
      <c r="K29" s="19"/>
      <c r="L29" s="19"/>
      <c r="M29" s="19">
        <f t="shared" ref="M29:N29" si="42">M15*1000</f>
        <v>273.7373737</v>
      </c>
      <c r="N29" s="19">
        <f t="shared" si="42"/>
        <v>3.775124987</v>
      </c>
      <c r="O29" s="19"/>
      <c r="P29" s="19"/>
      <c r="Q29" s="19"/>
      <c r="R29" s="19"/>
      <c r="S29" s="19"/>
      <c r="T29" s="19"/>
      <c r="U29" s="19"/>
      <c r="V29" s="19"/>
      <c r="W29" s="21"/>
      <c r="X29" s="25"/>
      <c r="Y29" s="19"/>
      <c r="Z29" s="19"/>
      <c r="AA29" s="19"/>
      <c r="AB29" s="19"/>
      <c r="AC29" s="19"/>
      <c r="AD29" s="19"/>
      <c r="AE29" s="19"/>
      <c r="AF29" s="19"/>
      <c r="AG29" s="19"/>
    </row>
    <row r="30">
      <c r="A30" s="19"/>
      <c r="B30" s="19"/>
      <c r="C30" s="19"/>
      <c r="D30" s="19"/>
      <c r="E30" s="19"/>
      <c r="F30" s="19"/>
      <c r="G30" s="19">
        <f t="shared" ref="G30:H30" si="43">G16*1000</f>
        <v>2.878464819</v>
      </c>
      <c r="H30" s="19">
        <f t="shared" si="43"/>
        <v>0.02745941326</v>
      </c>
      <c r="I30" s="19"/>
      <c r="J30" s="19"/>
      <c r="K30" s="19"/>
      <c r="L30" s="19"/>
      <c r="M30" s="19">
        <f t="shared" ref="M30:N30" si="44">M16*1000</f>
        <v>274.7474747</v>
      </c>
      <c r="N30" s="19">
        <f t="shared" si="44"/>
        <v>3.785328028</v>
      </c>
      <c r="O30" s="19"/>
      <c r="P30" s="19"/>
      <c r="Q30" s="19"/>
      <c r="R30" s="19"/>
      <c r="S30" s="19"/>
      <c r="T30" s="19"/>
      <c r="U30" s="19"/>
      <c r="V30" s="19"/>
      <c r="W30" s="21"/>
      <c r="X30" s="25"/>
      <c r="Y30" s="19"/>
      <c r="Z30" s="19"/>
      <c r="AA30" s="19"/>
      <c r="AB30" s="19"/>
      <c r="AC30" s="19"/>
      <c r="AD30" s="19"/>
      <c r="AE30" s="19"/>
      <c r="AF30" s="19"/>
      <c r="AG30" s="19"/>
    </row>
    <row r="31">
      <c r="A31" s="19"/>
      <c r="B31" s="19"/>
      <c r="C31" s="19"/>
      <c r="D31" s="19"/>
      <c r="E31" s="19"/>
      <c r="F31" s="19"/>
      <c r="G31" s="19">
        <f t="shared" ref="G31:H31" si="45">G17*1000</f>
        <v>3.81663113</v>
      </c>
      <c r="H31" s="19">
        <f t="shared" si="45"/>
        <v>0.02945976787</v>
      </c>
      <c r="I31" s="19"/>
      <c r="J31" s="19"/>
      <c r="K31" s="19"/>
      <c r="L31" s="19"/>
      <c r="M31" s="19">
        <f t="shared" ref="M31:N31" si="46">M17*1000</f>
        <v>278.7878788</v>
      </c>
      <c r="N31" s="19">
        <f t="shared" si="46"/>
        <v>3.82614019</v>
      </c>
      <c r="O31" s="19"/>
      <c r="P31" s="19"/>
      <c r="Q31" s="19"/>
      <c r="R31" s="19"/>
      <c r="S31" s="19"/>
      <c r="T31" s="19"/>
      <c r="U31" s="19"/>
      <c r="V31" s="19"/>
      <c r="W31" s="21"/>
      <c r="X31" s="25"/>
      <c r="Y31" s="19"/>
      <c r="Z31" s="19"/>
      <c r="AA31" s="19"/>
      <c r="AB31" s="19"/>
      <c r="AC31" s="19"/>
      <c r="AD31" s="19"/>
      <c r="AE31" s="19"/>
      <c r="AF31" s="19"/>
      <c r="AG31" s="19"/>
    </row>
    <row r="32">
      <c r="A32" s="19"/>
      <c r="B32" s="19"/>
      <c r="C32" s="19"/>
      <c r="D32" s="19"/>
      <c r="E32" s="19"/>
      <c r="F32" s="19"/>
      <c r="G32" s="19">
        <f t="shared" ref="G32:H32" si="47">G18*1000</f>
        <v>6.247334755</v>
      </c>
      <c r="H32" s="19">
        <f t="shared" si="47"/>
        <v>0.03464250481</v>
      </c>
      <c r="I32" s="19"/>
      <c r="J32" s="19"/>
      <c r="K32" s="19"/>
      <c r="L32" s="19"/>
      <c r="M32" s="19">
        <f t="shared" ref="M32:N32" si="48">M18*1000</f>
        <v>298.989899</v>
      </c>
      <c r="N32" s="19">
        <f t="shared" si="48"/>
        <v>4.030201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</row>
  </sheetData>
  <drawing r:id="rId1"/>
</worksheet>
</file>