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_A" sheetId="1" r:id="rId4"/>
    <sheet state="visible" name="B" sheetId="2" r:id="rId5"/>
    <sheet state="visible" name="C" sheetId="3" r:id="rId6"/>
    <sheet state="visible" name="D" sheetId="4" r:id="rId7"/>
  </sheets>
  <definedNames/>
  <calcPr/>
</workbook>
</file>

<file path=xl/sharedStrings.xml><?xml version="1.0" encoding="utf-8"?>
<sst xmlns="http://schemas.openxmlformats.org/spreadsheetml/2006/main" count="182" uniqueCount="83">
  <si>
    <t>Tudo desligado</t>
  </si>
  <si>
    <t>Vcc (v)</t>
  </si>
  <si>
    <t>IVcc</t>
  </si>
  <si>
    <t>-Vcc (V)</t>
  </si>
  <si>
    <t>I-Vcc</t>
  </si>
  <si>
    <t>R1</t>
  </si>
  <si>
    <t>R2</t>
  </si>
  <si>
    <t>Erros</t>
  </si>
  <si>
    <t>DC</t>
  </si>
  <si>
    <t>V_I</t>
  </si>
  <si>
    <t>Erro</t>
  </si>
  <si>
    <t>V_o (mV)</t>
  </si>
  <si>
    <t>0.1mV</t>
  </si>
  <si>
    <t>V_I tensão drop na resistencia</t>
  </si>
  <si>
    <t>Negativo, corrente aponta para base</t>
  </si>
  <si>
    <t>f</t>
  </si>
  <si>
    <t>Vcc</t>
  </si>
  <si>
    <t>Ivcc</t>
  </si>
  <si>
    <t>-Vcc</t>
  </si>
  <si>
    <t>301Hz</t>
  </si>
  <si>
    <t>Igual</t>
  </si>
  <si>
    <t>AC</t>
  </si>
  <si>
    <t>LTspice</t>
  </si>
  <si>
    <t>v_i</t>
  </si>
  <si>
    <t>i_i</t>
  </si>
  <si>
    <t>v_o</t>
  </si>
  <si>
    <t>i_o</t>
  </si>
  <si>
    <t>v_o/v_i</t>
  </si>
  <si>
    <t>i_o/i_i</t>
  </si>
  <si>
    <t>v_b</t>
  </si>
  <si>
    <t>Saturou mesmo no limite, amplitude não aumentava mais; slightly lower Vcc resolve</t>
  </si>
  <si>
    <t>Average</t>
  </si>
  <si>
    <t>V</t>
  </si>
  <si>
    <t>I</t>
  </si>
  <si>
    <t>Fitteia</t>
  </si>
  <si>
    <t>f (Hz)</t>
  </si>
  <si>
    <t>T</t>
  </si>
  <si>
    <t>R1=RL</t>
  </si>
  <si>
    <t>Simulacao</t>
  </si>
  <si>
    <t>v_i_eff</t>
  </si>
  <si>
    <t>V_I DC</t>
  </si>
  <si>
    <t>-&gt;desconsiderado</t>
  </si>
  <si>
    <t>v_R2_eff</t>
  </si>
  <si>
    <t>V_R2 DC</t>
  </si>
  <si>
    <t>v_o_eff</t>
  </si>
  <si>
    <t>V_O DC</t>
  </si>
  <si>
    <t>v_o_+</t>
  </si>
  <si>
    <t>v_o-</t>
  </si>
  <si>
    <t>PVCC</t>
  </si>
  <si>
    <t>P-VCC</t>
  </si>
  <si>
    <t>Pfontes</t>
  </si>
  <si>
    <t>Pload</t>
  </si>
  <si>
    <t>PQ1</t>
  </si>
  <si>
    <t>PQ2</t>
  </si>
  <si>
    <t>pd</t>
  </si>
  <si>
    <t>Rendimento</t>
  </si>
  <si>
    <t>Pfontes esperado</t>
  </si>
  <si>
    <t>v_omax/3</t>
  </si>
  <si>
    <t>v_o_actual</t>
  </si>
  <si>
    <t>G_i</t>
  </si>
  <si>
    <t>G_v</t>
  </si>
  <si>
    <t>1.978V</t>
  </si>
  <si>
    <t>Z_i</t>
  </si>
  <si>
    <t>Z_i_teo</t>
  </si>
  <si>
    <t>kOhm</t>
  </si>
  <si>
    <t>v_R2</t>
  </si>
  <si>
    <t>Z_o_teo</t>
  </si>
  <si>
    <t>R1 valor 1</t>
  </si>
  <si>
    <t>Z_o</t>
  </si>
  <si>
    <t>R1 valor 2</t>
  </si>
  <si>
    <t>v_o/3</t>
  </si>
  <si>
    <t>-&gt;não, mas whatever</t>
  </si>
  <si>
    <t>v_o actual (V)</t>
  </si>
  <si>
    <t>Erro resistencias</t>
  </si>
  <si>
    <t>?</t>
  </si>
  <si>
    <t>Sweep novo, mas mesmos valores</t>
  </si>
  <si>
    <t>logG</t>
  </si>
  <si>
    <t>20logG</t>
  </si>
  <si>
    <t>MATLAB</t>
  </si>
  <si>
    <t>|</t>
  </si>
  <si>
    <t>-&gt;espero que seja na resistência... ou seja, vri</t>
  </si>
  <si>
    <t>v_o before</t>
  </si>
  <si>
    <t>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</si>
</sst>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theme="1"/>
      <name val="Arial"/>
    </font>
    <font>
      <sz val="11.0"/>
      <color rgb="FF1F1F1F"/>
      <name val="Arial"/>
    </font>
    <font>
      <sz val="9.0"/>
      <color rgb="FF000000"/>
      <name val="&quot;Google Sans Mono&quot;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10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10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6" fontId="3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/>
    </xf>
    <xf borderId="0" fillId="11" fontId="4" numFmtId="0" xfId="0" applyAlignment="1" applyFill="1" applyFont="1">
      <alignment readingOrder="0"/>
    </xf>
    <xf borderId="0" fillId="0" fontId="5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/>
      <c r="B2" s="4" t="s">
        <v>1</v>
      </c>
      <c r="C2" s="4" t="s">
        <v>2</v>
      </c>
      <c r="D2" s="4" t="s">
        <v>3</v>
      </c>
      <c r="E2" s="1"/>
      <c r="F2" s="4" t="s">
        <v>4</v>
      </c>
      <c r="G2" s="3"/>
      <c r="H2" s="5" t="s">
        <v>5</v>
      </c>
      <c r="I2" s="5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/>
      <c r="B3" s="1">
        <v>9.7</v>
      </c>
      <c r="C3" s="1">
        <v>0.01</v>
      </c>
      <c r="D3" s="1">
        <v>9.7</v>
      </c>
      <c r="E3" s="1"/>
      <c r="F3" s="1">
        <v>0.01</v>
      </c>
      <c r="G3" s="3"/>
      <c r="H3" s="1">
        <v>10.0</v>
      </c>
      <c r="I3" s="1">
        <v>46.9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6" t="s">
        <v>7</v>
      </c>
      <c r="B4" s="1">
        <v>0.1</v>
      </c>
      <c r="C4" s="1">
        <v>0.01</v>
      </c>
      <c r="D4" s="1">
        <v>0.1</v>
      </c>
      <c r="E4" s="1"/>
      <c r="F4" s="1">
        <v>0.01</v>
      </c>
      <c r="G4" s="3"/>
      <c r="H4" s="1">
        <v>0.1</v>
      </c>
      <c r="I4" s="1">
        <v>0.1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/>
      <c r="B6" s="7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/>
      <c r="B7" s="4" t="s">
        <v>9</v>
      </c>
      <c r="C7" s="6" t="s">
        <v>10</v>
      </c>
      <c r="D7" s="4" t="s">
        <v>11</v>
      </c>
      <c r="E7" s="1"/>
      <c r="F7" s="6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"/>
      <c r="B8" s="3">
        <f>-64*0.001</f>
        <v>-0.064</v>
      </c>
      <c r="C8" s="1">
        <v>0.001</v>
      </c>
      <c r="D8" s="1">
        <v>0.0</v>
      </c>
      <c r="E8" s="1"/>
      <c r="F8" s="1" t="s">
        <v>12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/>
      <c r="B9" s="1" t="s">
        <v>13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/>
      <c r="B10" s="1" t="s">
        <v>14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/>
      <c r="B15" s="4" t="s">
        <v>15</v>
      </c>
      <c r="C15" s="6" t="s">
        <v>10</v>
      </c>
      <c r="D15" s="4" t="s">
        <v>16</v>
      </c>
      <c r="E15" s="1"/>
      <c r="F15" s="4" t="s">
        <v>17</v>
      </c>
      <c r="G15" s="4" t="s">
        <v>18</v>
      </c>
      <c r="H15" s="4" t="s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/>
      <c r="B16" s="1" t="s">
        <v>19</v>
      </c>
      <c r="C16" s="1">
        <v>1.0</v>
      </c>
      <c r="D16" s="1" t="s">
        <v>20</v>
      </c>
      <c r="E16" s="1"/>
      <c r="F16" s="1">
        <v>0.25</v>
      </c>
      <c r="G16" s="1" t="s">
        <v>20</v>
      </c>
      <c r="H16" s="1">
        <v>0.2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B16" s="3"/>
    </row>
    <row r="17">
      <c r="A17" s="1"/>
      <c r="B17" s="1" t="s">
        <v>21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" t="s">
        <v>22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/>
      <c r="B18" s="8" t="s">
        <v>23</v>
      </c>
      <c r="C18" s="6" t="s">
        <v>10</v>
      </c>
      <c r="D18" s="8" t="s">
        <v>24</v>
      </c>
      <c r="E18" s="6" t="s">
        <v>10</v>
      </c>
      <c r="F18" s="8" t="s">
        <v>25</v>
      </c>
      <c r="G18" s="6" t="s">
        <v>10</v>
      </c>
      <c r="H18" s="8" t="s">
        <v>26</v>
      </c>
      <c r="I18" s="6" t="s">
        <v>10</v>
      </c>
      <c r="J18" s="8" t="s">
        <v>27</v>
      </c>
      <c r="K18" s="3"/>
      <c r="L18" s="8" t="s">
        <v>28</v>
      </c>
      <c r="M18" s="3"/>
      <c r="N18" s="8" t="s">
        <v>23</v>
      </c>
      <c r="O18" s="6" t="s">
        <v>10</v>
      </c>
      <c r="P18" s="8" t="s">
        <v>29</v>
      </c>
      <c r="Q18" s="6" t="s">
        <v>10</v>
      </c>
      <c r="R18" s="8" t="s">
        <v>25</v>
      </c>
      <c r="S18" s="6" t="s">
        <v>10</v>
      </c>
      <c r="T18" s="8" t="s">
        <v>24</v>
      </c>
      <c r="U18" s="6" t="s">
        <v>10</v>
      </c>
      <c r="V18" s="8" t="s">
        <v>26</v>
      </c>
      <c r="W18" s="6" t="s">
        <v>10</v>
      </c>
      <c r="X18" s="8" t="s">
        <v>27</v>
      </c>
      <c r="Y18" s="3"/>
      <c r="Z18" s="8" t="s">
        <v>28</v>
      </c>
      <c r="AA18" s="3"/>
      <c r="AB18" s="9"/>
    </row>
    <row r="19">
      <c r="A19" s="1"/>
      <c r="B19" s="1">
        <v>0.51</v>
      </c>
      <c r="C19" s="1">
        <v>0.001</v>
      </c>
      <c r="D19" s="3">
        <f t="shared" ref="D19:D33" si="1">(B19-P35*B19)/$I$3</f>
        <v>0.0003306352428</v>
      </c>
      <c r="E19" s="3">
        <f t="shared" ref="E19:E33" si="2">C19/$I$3+(B19*$I$4)/$I$3^2</f>
        <v>0.00004450789004</v>
      </c>
      <c r="F19" s="3">
        <f>39.1*0.001</f>
        <v>0.0391</v>
      </c>
      <c r="G19" s="1">
        <v>0.001</v>
      </c>
      <c r="H19" s="3">
        <f t="shared" ref="H19:H33" si="3">F19/$H$3</f>
        <v>0.00391</v>
      </c>
      <c r="I19" s="3">
        <f t="shared" ref="I19:I33" si="4">G19/$H$3+($H$4*F19)/$H$3^2</f>
        <v>0.0001391</v>
      </c>
      <c r="J19" s="3">
        <f t="shared" ref="J19:J33" si="5">F19/B19</f>
        <v>0.07666666667</v>
      </c>
      <c r="K19" s="3"/>
      <c r="L19" s="3">
        <f t="shared" ref="L19:L33" si="6">H19/D19</f>
        <v>11.82572059</v>
      </c>
      <c r="M19" s="3"/>
      <c r="N19" s="1">
        <f t="shared" ref="N19:N33" si="7">B19*SQRT(2)</f>
        <v>0.7212489168</v>
      </c>
      <c r="O19" s="1">
        <v>0.001</v>
      </c>
      <c r="P19" s="1">
        <v>0.699319</v>
      </c>
      <c r="Q19" s="1">
        <v>0.001</v>
      </c>
      <c r="R19" s="1">
        <v>0.33236</v>
      </c>
      <c r="S19" s="1">
        <v>0.001</v>
      </c>
      <c r="T19" s="1">
        <v>4.6419E-4</v>
      </c>
      <c r="U19" s="1">
        <v>1.0E-5</v>
      </c>
      <c r="V19" s="1">
        <v>0.033236</v>
      </c>
      <c r="W19" s="1">
        <v>1.0E-4</v>
      </c>
      <c r="X19" s="3">
        <f t="shared" ref="X19:X33" si="8">R19/N19</f>
        <v>0.4608117839</v>
      </c>
      <c r="Y19" s="3"/>
      <c r="Z19" s="3">
        <f t="shared" ref="Z19:Z33" si="9">V19/T19</f>
        <v>71.59999138</v>
      </c>
      <c r="AA19" s="3"/>
      <c r="AB19" s="3"/>
    </row>
    <row r="20">
      <c r="A20" s="1"/>
      <c r="B20" s="1">
        <v>1.001</v>
      </c>
      <c r="C20" s="1">
        <v>0.001</v>
      </c>
      <c r="D20" s="3">
        <f t="shared" si="1"/>
        <v>0.0009989621038</v>
      </c>
      <c r="E20" s="3">
        <f t="shared" si="2"/>
        <v>0.00006683002896</v>
      </c>
      <c r="F20" s="1">
        <f>299*0.001</f>
        <v>0.299</v>
      </c>
      <c r="G20" s="1">
        <v>0.001</v>
      </c>
      <c r="H20" s="3">
        <f t="shared" si="3"/>
        <v>0.0299</v>
      </c>
      <c r="I20" s="3">
        <f t="shared" si="4"/>
        <v>0.000399</v>
      </c>
      <c r="J20" s="3">
        <f t="shared" si="5"/>
        <v>0.2987012987</v>
      </c>
      <c r="K20" s="3"/>
      <c r="L20" s="3">
        <f t="shared" si="6"/>
        <v>29.93106534</v>
      </c>
      <c r="M20" s="3"/>
      <c r="N20" s="1">
        <f t="shared" si="7"/>
        <v>1.415627776</v>
      </c>
      <c r="O20" s="1">
        <v>0.001</v>
      </c>
      <c r="P20" s="1">
        <v>1.34937</v>
      </c>
      <c r="Q20" s="1">
        <v>0.001</v>
      </c>
      <c r="R20" s="1">
        <v>0.95289</v>
      </c>
      <c r="S20" s="1">
        <v>0.001</v>
      </c>
      <c r="T20" s="1">
        <v>0.0014076</v>
      </c>
      <c r="U20" s="1">
        <v>1.0E-5</v>
      </c>
      <c r="V20" s="1">
        <v>0.095289</v>
      </c>
      <c r="W20" s="1">
        <v>1.0E-4</v>
      </c>
      <c r="X20" s="3">
        <f t="shared" si="8"/>
        <v>0.6731218589</v>
      </c>
      <c r="Y20" s="3"/>
      <c r="Z20" s="3">
        <f t="shared" si="9"/>
        <v>67.69607843</v>
      </c>
      <c r="AA20" s="3"/>
      <c r="AB20" s="3"/>
    </row>
    <row r="21">
      <c r="A21" s="1"/>
      <c r="B21" s="1">
        <v>1.522</v>
      </c>
      <c r="C21" s="1">
        <v>0.001</v>
      </c>
      <c r="D21" s="3">
        <f t="shared" si="1"/>
        <v>0.001797966623</v>
      </c>
      <c r="E21" s="3">
        <f t="shared" si="2"/>
        <v>0.00009051604603</v>
      </c>
      <c r="F21" s="3">
        <f>718*0.001</f>
        <v>0.718</v>
      </c>
      <c r="G21" s="1">
        <v>0.001</v>
      </c>
      <c r="H21" s="3">
        <f t="shared" si="3"/>
        <v>0.0718</v>
      </c>
      <c r="I21" s="3">
        <f t="shared" si="4"/>
        <v>0.000818</v>
      </c>
      <c r="J21" s="3">
        <f t="shared" si="5"/>
        <v>0.4717477004</v>
      </c>
      <c r="K21" s="3"/>
      <c r="L21" s="3">
        <f t="shared" si="6"/>
        <v>39.93400048</v>
      </c>
      <c r="M21" s="3"/>
      <c r="N21" s="1">
        <f t="shared" si="7"/>
        <v>2.152433042</v>
      </c>
      <c r="O21" s="1">
        <v>0.001</v>
      </c>
      <c r="P21" s="1">
        <v>2.03318</v>
      </c>
      <c r="Q21" s="1">
        <v>0.001</v>
      </c>
      <c r="R21" s="1">
        <v>1.62051</v>
      </c>
      <c r="S21" s="1">
        <v>0.001</v>
      </c>
      <c r="T21" s="1">
        <v>0.00253478</v>
      </c>
      <c r="U21" s="1">
        <v>1.0E-5</v>
      </c>
      <c r="V21" s="1">
        <v>0.162051</v>
      </c>
      <c r="W21" s="1">
        <v>1.0E-4</v>
      </c>
      <c r="X21" s="3">
        <f t="shared" si="8"/>
        <v>0.7528735939</v>
      </c>
      <c r="Y21" s="3"/>
      <c r="Z21" s="3">
        <f t="shared" si="9"/>
        <v>63.93099204</v>
      </c>
      <c r="AA21" s="3"/>
      <c r="AB21" s="3"/>
    </row>
    <row r="22">
      <c r="A22" s="1"/>
      <c r="B22" s="1">
        <v>2.02</v>
      </c>
      <c r="C22" s="1">
        <v>0.001</v>
      </c>
      <c r="D22" s="3">
        <f t="shared" si="1"/>
        <v>0.002637423803</v>
      </c>
      <c r="E22" s="3">
        <f t="shared" si="2"/>
        <v>0.0001131564232</v>
      </c>
      <c r="F22" s="1">
        <v>1.098</v>
      </c>
      <c r="G22" s="1">
        <v>0.001</v>
      </c>
      <c r="H22" s="3">
        <f t="shared" si="3"/>
        <v>0.1098</v>
      </c>
      <c r="I22" s="3">
        <f t="shared" si="4"/>
        <v>0.001198</v>
      </c>
      <c r="J22" s="3">
        <f t="shared" si="5"/>
        <v>0.5435643564</v>
      </c>
      <c r="K22" s="3"/>
      <c r="L22" s="3">
        <f t="shared" si="6"/>
        <v>41.63153449</v>
      </c>
      <c r="M22" s="3"/>
      <c r="N22" s="1">
        <f t="shared" si="7"/>
        <v>2.856711396</v>
      </c>
      <c r="O22" s="1">
        <v>0.001</v>
      </c>
      <c r="P22" s="1">
        <v>2.68178</v>
      </c>
      <c r="Q22" s="1">
        <v>0.001</v>
      </c>
      <c r="R22" s="1">
        <v>2.25817</v>
      </c>
      <c r="S22" s="1">
        <v>0.001</v>
      </c>
      <c r="T22" s="1">
        <v>0.00371938</v>
      </c>
      <c r="U22" s="1">
        <v>1.0E-5</v>
      </c>
      <c r="V22" s="1">
        <v>0.225817</v>
      </c>
      <c r="W22" s="1">
        <v>1.0E-4</v>
      </c>
      <c r="X22" s="3">
        <f t="shared" si="8"/>
        <v>0.7904788713</v>
      </c>
      <c r="Y22" s="3"/>
      <c r="Z22" s="3">
        <f t="shared" si="9"/>
        <v>60.71361356</v>
      </c>
      <c r="AA22" s="3"/>
      <c r="AB22" s="3"/>
    </row>
    <row r="23">
      <c r="A23" s="1"/>
      <c r="B23" s="1">
        <v>2.52</v>
      </c>
      <c r="C23" s="1">
        <v>0.001</v>
      </c>
      <c r="D23" s="3">
        <f t="shared" si="1"/>
        <v>0.003551487941</v>
      </c>
      <c r="E23" s="3">
        <f t="shared" si="2"/>
        <v>0.0001358877256</v>
      </c>
      <c r="F23" s="1">
        <v>1.462</v>
      </c>
      <c r="G23" s="1">
        <v>0.001</v>
      </c>
      <c r="H23" s="3">
        <f t="shared" si="3"/>
        <v>0.1462</v>
      </c>
      <c r="I23" s="3">
        <f t="shared" si="4"/>
        <v>0.001562</v>
      </c>
      <c r="J23" s="3">
        <f t="shared" si="5"/>
        <v>0.5801587302</v>
      </c>
      <c r="K23" s="3"/>
      <c r="L23" s="3">
        <f t="shared" si="6"/>
        <v>41.16584441</v>
      </c>
      <c r="M23" s="3"/>
      <c r="N23" s="1">
        <f t="shared" si="7"/>
        <v>3.563818177</v>
      </c>
      <c r="O23" s="1">
        <v>0.001</v>
      </c>
      <c r="P23" s="1">
        <v>3.32826</v>
      </c>
      <c r="Q23" s="1">
        <v>0.001</v>
      </c>
      <c r="R23" s="1">
        <v>2.89586</v>
      </c>
      <c r="S23" s="1">
        <v>0.001</v>
      </c>
      <c r="T23" s="1">
        <v>0.00500904</v>
      </c>
      <c r="U23" s="1">
        <v>1.0E-5</v>
      </c>
      <c r="V23" s="1">
        <v>0.289586</v>
      </c>
      <c r="W23" s="1">
        <v>1.0E-4</v>
      </c>
      <c r="X23" s="3">
        <f t="shared" si="8"/>
        <v>0.8125723188</v>
      </c>
      <c r="Y23" s="3"/>
      <c r="Z23" s="3">
        <f t="shared" si="9"/>
        <v>57.81267468</v>
      </c>
      <c r="AA23" s="3"/>
      <c r="AB23" s="3"/>
    </row>
    <row r="24">
      <c r="A24" s="1"/>
      <c r="B24" s="1">
        <v>3.055</v>
      </c>
      <c r="C24" s="1">
        <v>0.001</v>
      </c>
      <c r="D24" s="3">
        <f t="shared" si="1"/>
        <v>0.004605276903</v>
      </c>
      <c r="E24" s="3">
        <f t="shared" si="2"/>
        <v>0.0001602102191</v>
      </c>
      <c r="F24" s="1">
        <v>1.87</v>
      </c>
      <c r="G24" s="1">
        <v>0.001</v>
      </c>
      <c r="H24" s="3">
        <f t="shared" si="3"/>
        <v>0.187</v>
      </c>
      <c r="I24" s="3">
        <f t="shared" si="4"/>
        <v>0.00197</v>
      </c>
      <c r="J24" s="3">
        <f t="shared" si="5"/>
        <v>0.612111293</v>
      </c>
      <c r="K24" s="3"/>
      <c r="L24" s="3">
        <f t="shared" si="6"/>
        <v>40.60559309</v>
      </c>
      <c r="M24" s="3"/>
      <c r="N24" s="1">
        <f t="shared" si="7"/>
        <v>4.320422433</v>
      </c>
      <c r="O24" s="1">
        <v>0.001</v>
      </c>
      <c r="P24" s="1">
        <v>4.01497</v>
      </c>
      <c r="Q24" s="1">
        <v>0.001</v>
      </c>
      <c r="R24" s="1">
        <v>3.57458</v>
      </c>
      <c r="S24" s="1">
        <v>0.001</v>
      </c>
      <c r="T24" s="1">
        <v>0.00649642</v>
      </c>
      <c r="U24" s="1">
        <v>1.0E-5</v>
      </c>
      <c r="V24" s="1">
        <v>0.357458</v>
      </c>
      <c r="W24" s="1">
        <v>1.0E-4</v>
      </c>
      <c r="X24" s="3">
        <f t="shared" si="8"/>
        <v>0.8273681695</v>
      </c>
      <c r="Y24" s="3"/>
      <c r="Z24" s="3">
        <f t="shared" si="9"/>
        <v>55.0238439</v>
      </c>
      <c r="AA24" s="3"/>
      <c r="AB24" s="3"/>
    </row>
    <row r="25">
      <c r="A25" s="1"/>
      <c r="B25" s="1">
        <v>3.586</v>
      </c>
      <c r="C25" s="1">
        <v>0.001</v>
      </c>
      <c r="D25" s="3">
        <f t="shared" si="1"/>
        <v>0.005726657821</v>
      </c>
      <c r="E25" s="3">
        <f t="shared" si="2"/>
        <v>0.0001843508622</v>
      </c>
      <c r="F25" s="1">
        <v>2.412</v>
      </c>
      <c r="G25" s="1">
        <v>0.001</v>
      </c>
      <c r="H25" s="3">
        <f t="shared" si="3"/>
        <v>0.2412</v>
      </c>
      <c r="I25" s="3">
        <f t="shared" si="4"/>
        <v>0.002512</v>
      </c>
      <c r="J25" s="3">
        <f t="shared" si="5"/>
        <v>0.6726157278</v>
      </c>
      <c r="K25" s="3"/>
      <c r="L25" s="3">
        <f t="shared" si="6"/>
        <v>42.11880778</v>
      </c>
      <c r="M25" s="3"/>
      <c r="N25" s="1">
        <f t="shared" si="7"/>
        <v>5.071369835</v>
      </c>
      <c r="O25" s="1">
        <v>0.001</v>
      </c>
      <c r="P25" s="1">
        <v>4.69154</v>
      </c>
      <c r="Q25" s="1">
        <v>0.001</v>
      </c>
      <c r="R25" s="1">
        <v>4.24416</v>
      </c>
      <c r="S25" s="1">
        <v>0.001</v>
      </c>
      <c r="T25" s="1">
        <v>0.00807926</v>
      </c>
      <c r="U25" s="1">
        <v>1.0E-5</v>
      </c>
      <c r="V25" s="1">
        <v>0.424416</v>
      </c>
      <c r="W25" s="1">
        <v>1.0E-4</v>
      </c>
      <c r="X25" s="3">
        <f t="shared" si="8"/>
        <v>0.8368863124</v>
      </c>
      <c r="Y25" s="3"/>
      <c r="Z25" s="3">
        <f t="shared" si="9"/>
        <v>52.53154373</v>
      </c>
      <c r="AA25" s="3"/>
      <c r="AB25" s="3"/>
    </row>
    <row r="26">
      <c r="A26" s="1"/>
      <c r="B26" s="1">
        <v>4.047</v>
      </c>
      <c r="C26" s="1">
        <v>0.001</v>
      </c>
      <c r="D26" s="3">
        <f t="shared" si="1"/>
        <v>0.006759311924</v>
      </c>
      <c r="E26" s="3">
        <f t="shared" si="2"/>
        <v>0.000205309123</v>
      </c>
      <c r="F26" s="1">
        <v>2.81</v>
      </c>
      <c r="G26" s="1">
        <v>0.001</v>
      </c>
      <c r="H26" s="3">
        <f t="shared" si="3"/>
        <v>0.281</v>
      </c>
      <c r="I26" s="3">
        <f t="shared" si="4"/>
        <v>0.00291</v>
      </c>
      <c r="J26" s="3">
        <f t="shared" si="5"/>
        <v>0.6943414875</v>
      </c>
      <c r="K26" s="3"/>
      <c r="L26" s="3">
        <f t="shared" si="6"/>
        <v>41.57227883</v>
      </c>
      <c r="M26" s="3"/>
      <c r="N26" s="1">
        <f t="shared" si="7"/>
        <v>5.723322287</v>
      </c>
      <c r="O26" s="1">
        <v>0.001</v>
      </c>
      <c r="P26" s="1">
        <v>5.275</v>
      </c>
      <c r="Q26" s="1">
        <v>0.001</v>
      </c>
      <c r="R26" s="1">
        <v>4.8221</v>
      </c>
      <c r="S26" s="1">
        <v>0.001</v>
      </c>
      <c r="T26" s="1">
        <v>0.00953702</v>
      </c>
      <c r="U26" s="1">
        <v>1.0E-5</v>
      </c>
      <c r="V26" s="1">
        <v>0.48221</v>
      </c>
      <c r="W26" s="1">
        <v>1.0E-4</v>
      </c>
      <c r="X26" s="3">
        <f t="shared" si="8"/>
        <v>0.8425351148</v>
      </c>
      <c r="Y26" s="3"/>
      <c r="Z26" s="3">
        <f t="shared" si="9"/>
        <v>50.56191557</v>
      </c>
      <c r="AA26" s="3"/>
      <c r="AB26" s="3"/>
    </row>
    <row r="27">
      <c r="A27" s="1"/>
      <c r="B27" s="1">
        <v>4.591</v>
      </c>
      <c r="C27" s="1">
        <v>0.001</v>
      </c>
      <c r="D27" s="3">
        <f t="shared" si="1"/>
        <v>0.008046761563</v>
      </c>
      <c r="E27" s="3">
        <f t="shared" si="2"/>
        <v>0.00023004078</v>
      </c>
      <c r="F27" s="1">
        <v>3.257</v>
      </c>
      <c r="G27" s="1">
        <v>0.001</v>
      </c>
      <c r="H27" s="3">
        <f t="shared" si="3"/>
        <v>0.3257</v>
      </c>
      <c r="I27" s="3">
        <f t="shared" si="4"/>
        <v>0.003357</v>
      </c>
      <c r="J27" s="3">
        <f t="shared" si="5"/>
        <v>0.7094314964</v>
      </c>
      <c r="K27" s="3"/>
      <c r="L27" s="3">
        <f t="shared" si="6"/>
        <v>40.47591039</v>
      </c>
      <c r="M27" s="3"/>
      <c r="N27" s="1">
        <f t="shared" si="7"/>
        <v>6.492654465</v>
      </c>
      <c r="O27" s="1">
        <v>0.001</v>
      </c>
      <c r="P27" s="1">
        <v>5.95894</v>
      </c>
      <c r="Q27" s="1">
        <v>0.001</v>
      </c>
      <c r="R27" s="1">
        <v>5.49999</v>
      </c>
      <c r="S27" s="1">
        <v>0.001</v>
      </c>
      <c r="T27" s="1">
        <v>0.0113547</v>
      </c>
      <c r="U27" s="1">
        <v>1.0E-5</v>
      </c>
      <c r="V27" s="1">
        <v>0.549999</v>
      </c>
      <c r="W27" s="1">
        <v>1.0E-4</v>
      </c>
      <c r="X27" s="3">
        <f t="shared" si="8"/>
        <v>0.8471096113</v>
      </c>
      <c r="Y27" s="3"/>
      <c r="Z27" s="3">
        <f t="shared" si="9"/>
        <v>48.43800365</v>
      </c>
      <c r="AA27" s="3"/>
      <c r="AB27" s="3"/>
    </row>
    <row r="28">
      <c r="A28" s="1"/>
      <c r="B28" s="1">
        <v>5.08</v>
      </c>
      <c r="C28" s="1">
        <v>0.001</v>
      </c>
      <c r="D28" s="3">
        <f t="shared" si="1"/>
        <v>0.009266338813</v>
      </c>
      <c r="E28" s="3">
        <f t="shared" si="2"/>
        <v>0.0002522719937</v>
      </c>
      <c r="F28" s="1">
        <v>3.805</v>
      </c>
      <c r="G28" s="1">
        <v>0.001</v>
      </c>
      <c r="H28" s="3">
        <f t="shared" si="3"/>
        <v>0.3805</v>
      </c>
      <c r="I28" s="3">
        <f t="shared" si="4"/>
        <v>0.003905</v>
      </c>
      <c r="J28" s="3">
        <f t="shared" si="5"/>
        <v>0.749015748</v>
      </c>
      <c r="K28" s="3"/>
      <c r="L28" s="3">
        <f t="shared" si="6"/>
        <v>41.06260387</v>
      </c>
      <c r="M28" s="3"/>
      <c r="N28" s="1">
        <f t="shared" si="7"/>
        <v>7.184204897</v>
      </c>
      <c r="O28" s="1">
        <v>0.001</v>
      </c>
      <c r="P28" s="1">
        <v>6.5696</v>
      </c>
      <c r="Q28" s="1">
        <v>0.001</v>
      </c>
      <c r="R28" s="1">
        <v>6.10556</v>
      </c>
      <c r="S28" s="1">
        <v>0.001</v>
      </c>
      <c r="T28" s="1">
        <v>0.013076</v>
      </c>
      <c r="U28" s="1">
        <v>1.0E-5</v>
      </c>
      <c r="V28" s="1">
        <v>0.610556</v>
      </c>
      <c r="W28" s="1">
        <v>1.0E-4</v>
      </c>
      <c r="X28" s="3">
        <f t="shared" si="8"/>
        <v>0.8498588344</v>
      </c>
      <c r="Y28" s="3"/>
      <c r="Z28" s="3">
        <f t="shared" si="9"/>
        <v>46.69287244</v>
      </c>
      <c r="AA28" s="3"/>
      <c r="AB28" s="3"/>
    </row>
    <row r="29">
      <c r="A29" s="1"/>
      <c r="B29" s="1">
        <v>5.558</v>
      </c>
      <c r="C29" s="1">
        <v>0.001</v>
      </c>
      <c r="D29" s="3">
        <f t="shared" si="1"/>
        <v>0.01051356184</v>
      </c>
      <c r="E29" s="3">
        <f t="shared" si="2"/>
        <v>0.0002740031187</v>
      </c>
      <c r="F29" s="1">
        <v>4.23</v>
      </c>
      <c r="G29" s="1">
        <v>0.001</v>
      </c>
      <c r="H29" s="3">
        <f t="shared" si="3"/>
        <v>0.423</v>
      </c>
      <c r="I29" s="3">
        <f t="shared" si="4"/>
        <v>0.00433</v>
      </c>
      <c r="J29" s="3">
        <f t="shared" si="5"/>
        <v>0.7610651313</v>
      </c>
      <c r="K29" s="3"/>
      <c r="L29" s="3">
        <f t="shared" si="6"/>
        <v>40.23374823</v>
      </c>
      <c r="M29" s="3"/>
      <c r="N29" s="1">
        <f t="shared" si="7"/>
        <v>7.86019898</v>
      </c>
      <c r="O29" s="1">
        <v>0.001</v>
      </c>
      <c r="P29" s="1">
        <v>7.16287</v>
      </c>
      <c r="Q29" s="1">
        <v>0.001</v>
      </c>
      <c r="R29" s="1">
        <v>6.69409</v>
      </c>
      <c r="S29" s="1">
        <v>0.001</v>
      </c>
      <c r="T29" s="1">
        <v>0.0148371</v>
      </c>
      <c r="U29" s="1">
        <v>1.0E-5</v>
      </c>
      <c r="V29" s="1">
        <v>0.669409</v>
      </c>
      <c r="W29" s="1">
        <v>1.0E-4</v>
      </c>
      <c r="X29" s="3">
        <f t="shared" si="8"/>
        <v>0.8516438346</v>
      </c>
      <c r="Y29" s="3"/>
      <c r="Z29" s="3">
        <f t="shared" si="9"/>
        <v>45.11723989</v>
      </c>
      <c r="AA29" s="3"/>
      <c r="AB29" s="3"/>
    </row>
    <row r="30">
      <c r="A30" s="1"/>
      <c r="B30" s="1">
        <v>6.07</v>
      </c>
      <c r="C30" s="1">
        <v>0.001</v>
      </c>
      <c r="D30" s="3">
        <f t="shared" si="1"/>
        <v>0.01193557535</v>
      </c>
      <c r="E30" s="3">
        <f t="shared" si="2"/>
        <v>0.0002972799724</v>
      </c>
      <c r="F30" s="1">
        <v>4.65</v>
      </c>
      <c r="G30" s="1">
        <v>0.001</v>
      </c>
      <c r="H30" s="3">
        <f t="shared" si="3"/>
        <v>0.465</v>
      </c>
      <c r="I30" s="3">
        <f t="shared" si="4"/>
        <v>0.00475</v>
      </c>
      <c r="J30" s="3">
        <f t="shared" si="5"/>
        <v>0.766062603</v>
      </c>
      <c r="K30" s="3"/>
      <c r="L30" s="3">
        <f t="shared" si="6"/>
        <v>38.95916087</v>
      </c>
      <c r="M30" s="3"/>
      <c r="N30" s="1">
        <f t="shared" si="7"/>
        <v>8.584276324</v>
      </c>
      <c r="O30" s="1">
        <v>0.001</v>
      </c>
      <c r="P30" s="1">
        <v>7.79263</v>
      </c>
      <c r="Q30" s="1">
        <v>0.001</v>
      </c>
      <c r="R30" s="1">
        <v>7.31896</v>
      </c>
      <c r="S30" s="1">
        <v>0.001</v>
      </c>
      <c r="T30" s="1">
        <v>0.0167898</v>
      </c>
      <c r="U30" s="1">
        <v>1.0E-5</v>
      </c>
      <c r="V30" s="1">
        <v>0.731896</v>
      </c>
      <c r="W30" s="1">
        <v>1.0E-4</v>
      </c>
      <c r="X30" s="3">
        <f t="shared" si="8"/>
        <v>0.8526006997</v>
      </c>
      <c r="Y30" s="3"/>
      <c r="Z30" s="3">
        <f t="shared" si="9"/>
        <v>43.59170449</v>
      </c>
      <c r="AA30" s="3"/>
      <c r="AB30" s="3"/>
    </row>
    <row r="31">
      <c r="A31" s="1"/>
      <c r="B31" s="1">
        <v>6.58</v>
      </c>
      <c r="C31" s="1">
        <v>0.001</v>
      </c>
      <c r="D31" s="3">
        <f t="shared" si="1"/>
        <v>0.01335836641</v>
      </c>
      <c r="E31" s="3">
        <f t="shared" si="2"/>
        <v>0.0003204659008</v>
      </c>
      <c r="F31" s="1">
        <v>5.09</v>
      </c>
      <c r="G31" s="1">
        <v>0.001</v>
      </c>
      <c r="H31" s="3">
        <f t="shared" si="3"/>
        <v>0.509</v>
      </c>
      <c r="I31" s="3">
        <f t="shared" si="4"/>
        <v>0.00519</v>
      </c>
      <c r="J31" s="3">
        <f t="shared" si="5"/>
        <v>0.773556231</v>
      </c>
      <c r="K31" s="3"/>
      <c r="L31" s="3">
        <f t="shared" si="6"/>
        <v>38.10346148</v>
      </c>
      <c r="M31" s="3"/>
      <c r="N31" s="1">
        <f t="shared" si="7"/>
        <v>9.30552524</v>
      </c>
      <c r="O31" s="1">
        <v>0.001</v>
      </c>
      <c r="P31" s="1">
        <v>8.41951</v>
      </c>
      <c r="Q31" s="1">
        <v>0.001</v>
      </c>
      <c r="R31" s="1">
        <v>7.94117</v>
      </c>
      <c r="S31" s="1">
        <v>0.001</v>
      </c>
      <c r="T31" s="1">
        <v>0.0188542</v>
      </c>
      <c r="U31" s="1">
        <v>1.0E-5</v>
      </c>
      <c r="V31" s="1">
        <v>0.794117</v>
      </c>
      <c r="W31" s="1">
        <v>1.0E-4</v>
      </c>
      <c r="X31" s="3">
        <f t="shared" si="8"/>
        <v>0.8533822428</v>
      </c>
      <c r="Y31" s="3"/>
      <c r="Z31" s="3">
        <f t="shared" si="9"/>
        <v>42.11883824</v>
      </c>
      <c r="AA31" s="3"/>
      <c r="AB31" s="3"/>
    </row>
    <row r="32">
      <c r="A32" s="1"/>
      <c r="B32" s="1">
        <v>7.05</v>
      </c>
      <c r="C32" s="1">
        <v>0.001</v>
      </c>
      <c r="D32" s="3">
        <f t="shared" si="1"/>
        <v>0.01474544719</v>
      </c>
      <c r="E32" s="3">
        <f t="shared" si="2"/>
        <v>0.000341833325</v>
      </c>
      <c r="F32" s="1">
        <v>5.44</v>
      </c>
      <c r="G32" s="1">
        <v>0.001</v>
      </c>
      <c r="H32" s="3">
        <f t="shared" si="3"/>
        <v>0.544</v>
      </c>
      <c r="I32" s="3">
        <f t="shared" si="4"/>
        <v>0.00554</v>
      </c>
      <c r="J32" s="3">
        <f t="shared" si="5"/>
        <v>0.7716312057</v>
      </c>
      <c r="K32" s="3"/>
      <c r="L32" s="3">
        <f t="shared" si="6"/>
        <v>36.89274343</v>
      </c>
      <c r="M32" s="3"/>
      <c r="N32" s="1">
        <f t="shared" si="7"/>
        <v>9.970205615</v>
      </c>
      <c r="O32" s="1">
        <v>0.001</v>
      </c>
      <c r="P32" s="1">
        <v>8.99219</v>
      </c>
      <c r="Q32" s="1">
        <v>0.001</v>
      </c>
      <c r="R32" s="1">
        <v>8.50965</v>
      </c>
      <c r="S32" s="1">
        <v>0.001</v>
      </c>
      <c r="T32" s="1">
        <v>0.0208131</v>
      </c>
      <c r="U32" s="1">
        <v>1.0E-5</v>
      </c>
      <c r="V32" s="1">
        <v>0.850965</v>
      </c>
      <c r="W32" s="1">
        <v>1.0E-4</v>
      </c>
      <c r="X32" s="3">
        <f t="shared" si="8"/>
        <v>0.8535079745</v>
      </c>
      <c r="Y32" s="3"/>
      <c r="Z32" s="3">
        <f t="shared" si="9"/>
        <v>40.88602851</v>
      </c>
      <c r="AA32" s="3"/>
      <c r="AB32" s="3"/>
    </row>
    <row r="33">
      <c r="A33" s="1"/>
      <c r="B33" s="1">
        <v>7.4</v>
      </c>
      <c r="C33" s="1">
        <v>0.001</v>
      </c>
      <c r="D33" s="3">
        <f t="shared" si="1"/>
        <v>0.01581009893</v>
      </c>
      <c r="E33" s="3">
        <f t="shared" si="2"/>
        <v>0.0003577452367</v>
      </c>
      <c r="F33" s="1">
        <v>5.89</v>
      </c>
      <c r="G33" s="1">
        <v>0.001</v>
      </c>
      <c r="H33" s="3">
        <f t="shared" si="3"/>
        <v>0.589</v>
      </c>
      <c r="I33" s="3">
        <f t="shared" si="4"/>
        <v>0.00599</v>
      </c>
      <c r="J33" s="3">
        <f t="shared" si="5"/>
        <v>0.7959459459</v>
      </c>
      <c r="K33" s="3"/>
      <c r="L33" s="3">
        <f t="shared" si="6"/>
        <v>37.25466885</v>
      </c>
      <c r="M33" s="3"/>
      <c r="N33" s="1">
        <f t="shared" si="7"/>
        <v>10.46518036</v>
      </c>
      <c r="O33" s="1">
        <v>0.001</v>
      </c>
      <c r="P33" s="1">
        <v>9.41655</v>
      </c>
      <c r="Q33" s="1">
        <v>0.001</v>
      </c>
      <c r="R33" s="1">
        <v>8.93096</v>
      </c>
      <c r="S33" s="1">
        <v>0.001</v>
      </c>
      <c r="T33" s="1">
        <v>0.0223174</v>
      </c>
      <c r="U33" s="1">
        <v>1.0E-5</v>
      </c>
      <c r="V33" s="1">
        <v>0.893096</v>
      </c>
      <c r="W33" s="1">
        <v>1.0E-4</v>
      </c>
      <c r="X33" s="3">
        <f t="shared" si="8"/>
        <v>0.8533976187</v>
      </c>
      <c r="Y33" s="3"/>
      <c r="Z33" s="3">
        <f t="shared" si="9"/>
        <v>40.01792323</v>
      </c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1"/>
      <c r="M34" s="3"/>
      <c r="N34" s="3"/>
      <c r="O34" s="3"/>
      <c r="P34" s="3"/>
      <c r="Q34" s="3"/>
      <c r="R34" s="1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"/>
      <c r="B35" s="1" t="s">
        <v>30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">
        <f t="shared" ref="P35:P49" si="10">P19/N19</f>
        <v>0.9695945238</v>
      </c>
      <c r="Q35" s="1" t="s">
        <v>31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1" t="s">
        <v>32</v>
      </c>
      <c r="E36" s="3"/>
      <c r="F36" s="3"/>
      <c r="G36" s="3"/>
      <c r="H36" s="1" t="s">
        <v>33</v>
      </c>
      <c r="I36" s="3"/>
      <c r="J36" s="3"/>
      <c r="K36" s="3"/>
      <c r="L36" s="3"/>
      <c r="M36" s="3"/>
      <c r="N36" s="3"/>
      <c r="O36" s="3"/>
      <c r="P36" s="1">
        <f t="shared" si="10"/>
        <v>0.9531954818</v>
      </c>
      <c r="Q36" s="3">
        <f>AVERAGE(P35:P49)</f>
        <v>0.9249283944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 t="s">
        <v>34</v>
      </c>
      <c r="B37" s="3"/>
      <c r="C37" s="3"/>
      <c r="D37" s="1">
        <v>0.51</v>
      </c>
      <c r="E37" s="1">
        <v>0.001</v>
      </c>
      <c r="F37" s="3">
        <v>0.0391</v>
      </c>
      <c r="G37" s="1">
        <v>0.001</v>
      </c>
      <c r="H37" s="3">
        <v>3.306352428018083E-4</v>
      </c>
      <c r="I37" s="3">
        <v>4.4507890035051674E-5</v>
      </c>
      <c r="J37" s="3">
        <v>0.00391</v>
      </c>
      <c r="K37" s="3">
        <v>1.3910000000000002E-4</v>
      </c>
      <c r="L37" s="3"/>
      <c r="M37" s="3"/>
      <c r="N37" s="3"/>
      <c r="O37" s="3"/>
      <c r="P37" s="1">
        <f t="shared" si="10"/>
        <v>0.9445961665</v>
      </c>
      <c r="Q37" s="3"/>
      <c r="R37" s="1" t="s">
        <v>34</v>
      </c>
      <c r="S37" s="1" t="s">
        <v>32</v>
      </c>
      <c r="T37" s="3"/>
      <c r="U37" s="3"/>
      <c r="V37" s="3"/>
      <c r="W37" s="1" t="s">
        <v>33</v>
      </c>
      <c r="X37" s="3"/>
      <c r="Y37" s="3"/>
      <c r="Z37" s="3"/>
      <c r="AA37" s="3"/>
      <c r="AB37" s="3"/>
    </row>
    <row r="38">
      <c r="A38" s="3"/>
      <c r="B38" s="3"/>
      <c r="C38" s="3"/>
      <c r="D38" s="1">
        <v>1.001</v>
      </c>
      <c r="E38" s="1">
        <v>0.001</v>
      </c>
      <c r="F38" s="1">
        <v>0.299</v>
      </c>
      <c r="G38" s="1">
        <v>0.001</v>
      </c>
      <c r="H38" s="3">
        <v>9.989621038445275E-4</v>
      </c>
      <c r="I38" s="3">
        <v>6.683002895967921E-5</v>
      </c>
      <c r="J38" s="3">
        <v>0.0299</v>
      </c>
      <c r="K38" s="3">
        <v>3.99E-4</v>
      </c>
      <c r="L38" s="3"/>
      <c r="M38" s="3"/>
      <c r="N38" s="3"/>
      <c r="O38" s="3"/>
      <c r="P38" s="1">
        <f t="shared" si="10"/>
        <v>0.9387647642</v>
      </c>
      <c r="Q38" s="3"/>
      <c r="R38" s="3"/>
      <c r="S38" s="3">
        <f t="shared" ref="S38:T38" si="11">N19/SQRT(2)</f>
        <v>0.51</v>
      </c>
      <c r="T38" s="3">
        <f t="shared" si="11"/>
        <v>0.0007071067812</v>
      </c>
      <c r="U38" s="3">
        <f t="shared" ref="U38:Z38" si="12">R19/SQRT(2)</f>
        <v>0.2350140098</v>
      </c>
      <c r="V38" s="3">
        <f t="shared" si="12"/>
        <v>0.0007071067812</v>
      </c>
      <c r="W38" s="3">
        <f t="shared" si="12"/>
        <v>0.0003282318968</v>
      </c>
      <c r="X38" s="3">
        <f t="shared" si="12"/>
        <v>0.000007071067812</v>
      </c>
      <c r="Y38" s="3">
        <f t="shared" si="12"/>
        <v>0.02350140098</v>
      </c>
      <c r="Z38" s="3">
        <f t="shared" si="12"/>
        <v>0.00007071067812</v>
      </c>
      <c r="AA38" s="3"/>
      <c r="AB38" s="3"/>
    </row>
    <row r="39">
      <c r="A39" s="3"/>
      <c r="B39" s="3"/>
      <c r="C39" s="3"/>
      <c r="D39" s="1">
        <v>1.522</v>
      </c>
      <c r="E39" s="1">
        <v>0.001</v>
      </c>
      <c r="F39" s="3">
        <v>0.718</v>
      </c>
      <c r="G39" s="1">
        <v>0.001</v>
      </c>
      <c r="H39" s="3">
        <v>0.0017979666231798537</v>
      </c>
      <c r="I39" s="3">
        <v>9.051604602634104E-5</v>
      </c>
      <c r="J39" s="3">
        <v>0.0718</v>
      </c>
      <c r="K39" s="3">
        <v>8.18E-4</v>
      </c>
      <c r="L39" s="3"/>
      <c r="M39" s="3"/>
      <c r="N39" s="3"/>
      <c r="O39" s="3"/>
      <c r="P39" s="1">
        <f t="shared" si="10"/>
        <v>0.9339028633</v>
      </c>
      <c r="Q39" s="3"/>
      <c r="R39" s="3"/>
      <c r="S39" s="3">
        <f t="shared" ref="S39:T39" si="13">N20/SQRT(2)</f>
        <v>1.001</v>
      </c>
      <c r="T39" s="3">
        <f t="shared" si="13"/>
        <v>0.0007071067812</v>
      </c>
      <c r="U39" s="3">
        <f t="shared" ref="U39:Z39" si="14">R20/SQRT(2)</f>
        <v>0.6737949807</v>
      </c>
      <c r="V39" s="3">
        <f t="shared" si="14"/>
        <v>0.0007071067812</v>
      </c>
      <c r="W39" s="3">
        <f t="shared" si="14"/>
        <v>0.0009953235052</v>
      </c>
      <c r="X39" s="3">
        <f t="shared" si="14"/>
        <v>0.000007071067812</v>
      </c>
      <c r="Y39" s="3">
        <f t="shared" si="14"/>
        <v>0.06737949807</v>
      </c>
      <c r="Z39" s="3">
        <f t="shared" si="14"/>
        <v>0.00007071067812</v>
      </c>
      <c r="AA39" s="3"/>
      <c r="AB39" s="3"/>
    </row>
    <row r="40">
      <c r="A40" s="3"/>
      <c r="B40" s="3"/>
      <c r="C40" s="3"/>
      <c r="D40" s="1">
        <v>2.02</v>
      </c>
      <c r="E40" s="1">
        <v>0.001</v>
      </c>
      <c r="F40" s="1">
        <v>1.098</v>
      </c>
      <c r="G40" s="1">
        <v>0.001</v>
      </c>
      <c r="H40" s="3">
        <v>0.0026374238027620654</v>
      </c>
      <c r="I40" s="3">
        <v>1.1315642318410993E-4</v>
      </c>
      <c r="J40" s="3">
        <v>0.10980000000000001</v>
      </c>
      <c r="K40" s="3">
        <v>0.001198</v>
      </c>
      <c r="L40" s="3"/>
      <c r="M40" s="3"/>
      <c r="N40" s="3"/>
      <c r="O40" s="3"/>
      <c r="P40" s="1">
        <f t="shared" si="10"/>
        <v>0.9293003317</v>
      </c>
      <c r="Q40" s="3"/>
      <c r="R40" s="3"/>
      <c r="S40" s="3">
        <f t="shared" ref="S40:T40" si="15">N21/SQRT(2)</f>
        <v>1.522</v>
      </c>
      <c r="T40" s="3">
        <f t="shared" si="15"/>
        <v>0.0007071067812</v>
      </c>
      <c r="U40" s="3">
        <f t="shared" ref="U40:Z40" si="16">R21/SQRT(2)</f>
        <v>1.14587361</v>
      </c>
      <c r="V40" s="3">
        <f t="shared" si="16"/>
        <v>0.0007071067812</v>
      </c>
      <c r="W40" s="3">
        <f t="shared" si="16"/>
        <v>0.001792360127</v>
      </c>
      <c r="X40" s="3">
        <f t="shared" si="16"/>
        <v>0.000007071067812</v>
      </c>
      <c r="Y40" s="3">
        <f t="shared" si="16"/>
        <v>0.114587361</v>
      </c>
      <c r="Z40" s="3">
        <f t="shared" si="16"/>
        <v>0.00007071067812</v>
      </c>
      <c r="AA40" s="3"/>
      <c r="AB40" s="3"/>
    </row>
    <row r="41">
      <c r="A41" s="3"/>
      <c r="B41" s="3"/>
      <c r="C41" s="3"/>
      <c r="D41" s="1">
        <v>2.52</v>
      </c>
      <c r="E41" s="1">
        <v>0.001</v>
      </c>
      <c r="F41" s="1">
        <v>1.462</v>
      </c>
      <c r="G41" s="1">
        <v>0.001</v>
      </c>
      <c r="H41" s="3">
        <v>0.0035514879413232696</v>
      </c>
      <c r="I41" s="3">
        <v>1.3588772555134777E-4</v>
      </c>
      <c r="J41" s="3">
        <v>0.1462</v>
      </c>
      <c r="K41" s="3">
        <v>0.001562</v>
      </c>
      <c r="L41" s="3"/>
      <c r="M41" s="3"/>
      <c r="N41" s="3"/>
      <c r="O41" s="3"/>
      <c r="P41" s="1">
        <f t="shared" si="10"/>
        <v>0.9251031088</v>
      </c>
      <c r="Q41" s="3"/>
      <c r="R41" s="3"/>
      <c r="S41" s="3">
        <f t="shared" ref="S41:T41" si="17">N22/SQRT(2)</f>
        <v>2.02</v>
      </c>
      <c r="T41" s="3">
        <f t="shared" si="17"/>
        <v>0.0007071067812</v>
      </c>
      <c r="U41" s="3">
        <f t="shared" ref="U41:Z41" si="18">R22/SQRT(2)</f>
        <v>1.59676732</v>
      </c>
      <c r="V41" s="3">
        <f t="shared" si="18"/>
        <v>0.0007071067812</v>
      </c>
      <c r="W41" s="3">
        <f t="shared" si="18"/>
        <v>0.00262999882</v>
      </c>
      <c r="X41" s="3">
        <f t="shared" si="18"/>
        <v>0.000007071067812</v>
      </c>
      <c r="Y41" s="3">
        <f t="shared" si="18"/>
        <v>0.159676732</v>
      </c>
      <c r="Z41" s="3">
        <f t="shared" si="18"/>
        <v>0.00007071067812</v>
      </c>
      <c r="AA41" s="3"/>
      <c r="AB41" s="3"/>
    </row>
    <row r="42">
      <c r="A42" s="3"/>
      <c r="B42" s="3"/>
      <c r="C42" s="3"/>
      <c r="D42" s="1">
        <v>3.055</v>
      </c>
      <c r="E42" s="1">
        <v>0.001</v>
      </c>
      <c r="F42" s="1">
        <v>1.87</v>
      </c>
      <c r="G42" s="1">
        <v>0.001</v>
      </c>
      <c r="H42" s="3">
        <v>0.004605276902760076</v>
      </c>
      <c r="I42" s="3">
        <v>1.6021021908429225E-4</v>
      </c>
      <c r="J42" s="3">
        <v>0.187</v>
      </c>
      <c r="K42" s="3">
        <v>0.0019700000000000004</v>
      </c>
      <c r="L42" s="3"/>
      <c r="M42" s="3"/>
      <c r="N42" s="3"/>
      <c r="O42" s="3"/>
      <c r="P42" s="1">
        <f t="shared" si="10"/>
        <v>0.9216674749</v>
      </c>
      <c r="Q42" s="3"/>
      <c r="R42" s="3"/>
      <c r="S42" s="3">
        <f t="shared" ref="S42:T42" si="19">N23/SQRT(2)</f>
        <v>2.52</v>
      </c>
      <c r="T42" s="3">
        <f t="shared" si="19"/>
        <v>0.0007071067812</v>
      </c>
      <c r="U42" s="3">
        <f t="shared" ref="U42:Z42" si="20">R23/SQRT(2)</f>
        <v>2.047682243</v>
      </c>
      <c r="V42" s="3">
        <f t="shared" si="20"/>
        <v>0.0007071067812</v>
      </c>
      <c r="W42" s="3">
        <f t="shared" si="20"/>
        <v>0.003541926151</v>
      </c>
      <c r="X42" s="3">
        <f t="shared" si="20"/>
        <v>0.000007071067812</v>
      </c>
      <c r="Y42" s="3">
        <f t="shared" si="20"/>
        <v>0.2047682243</v>
      </c>
      <c r="Z42" s="3">
        <f t="shared" si="20"/>
        <v>0.00007071067812</v>
      </c>
      <c r="AA42" s="3"/>
      <c r="AB42" s="3"/>
    </row>
    <row r="43">
      <c r="A43" s="3"/>
      <c r="B43" s="3"/>
      <c r="C43" s="3"/>
      <c r="D43" s="1">
        <v>3.586</v>
      </c>
      <c r="E43" s="1">
        <v>0.001</v>
      </c>
      <c r="F43" s="1">
        <v>2.412</v>
      </c>
      <c r="G43" s="1">
        <v>0.001</v>
      </c>
      <c r="H43" s="3">
        <v>0.005726657820726333</v>
      </c>
      <c r="I43" s="3">
        <v>1.8435086219829882E-4</v>
      </c>
      <c r="J43" s="3">
        <v>0.2412</v>
      </c>
      <c r="K43" s="3">
        <v>0.002512</v>
      </c>
      <c r="L43" s="3"/>
      <c r="M43" s="3"/>
      <c r="N43" s="3"/>
      <c r="O43" s="3"/>
      <c r="P43" s="1">
        <f t="shared" si="10"/>
        <v>0.9177971864</v>
      </c>
      <c r="Q43" s="3"/>
      <c r="R43" s="3"/>
      <c r="S43" s="3">
        <f t="shared" ref="S43:T43" si="21">N24/SQRT(2)</f>
        <v>3.055</v>
      </c>
      <c r="T43" s="3">
        <f t="shared" si="21"/>
        <v>0.0007071067812</v>
      </c>
      <c r="U43" s="3">
        <f t="shared" ref="U43:Z43" si="22">R24/SQRT(2)</f>
        <v>2.527609758</v>
      </c>
      <c r="V43" s="3">
        <f t="shared" si="22"/>
        <v>0.0007071067812</v>
      </c>
      <c r="W43" s="3">
        <f t="shared" si="22"/>
        <v>0.004593662635</v>
      </c>
      <c r="X43" s="3">
        <f t="shared" si="22"/>
        <v>0.000007071067812</v>
      </c>
      <c r="Y43" s="3">
        <f t="shared" si="22"/>
        <v>0.2527609758</v>
      </c>
      <c r="Z43" s="3">
        <f t="shared" si="22"/>
        <v>0.00007071067812</v>
      </c>
      <c r="AA43" s="3"/>
      <c r="AB43" s="3"/>
    </row>
    <row r="44">
      <c r="A44" s="3"/>
      <c r="B44" s="3"/>
      <c r="C44" s="3"/>
      <c r="D44" s="1">
        <v>4.047</v>
      </c>
      <c r="E44" s="1">
        <v>0.001</v>
      </c>
      <c r="F44" s="1">
        <v>2.81</v>
      </c>
      <c r="G44" s="1">
        <v>0.001</v>
      </c>
      <c r="H44" s="3">
        <v>0.006759311924114314</v>
      </c>
      <c r="I44" s="3">
        <v>2.0530912298089208E-4</v>
      </c>
      <c r="J44" s="3">
        <v>0.281</v>
      </c>
      <c r="K44" s="3">
        <v>0.0029100000000000003</v>
      </c>
      <c r="L44" s="3"/>
      <c r="M44" s="3"/>
      <c r="N44" s="3"/>
      <c r="O44" s="3"/>
      <c r="P44" s="1">
        <f t="shared" si="10"/>
        <v>0.9144505334</v>
      </c>
      <c r="Q44" s="3"/>
      <c r="R44" s="3"/>
      <c r="S44" s="3">
        <f t="shared" ref="S44:T44" si="23">N25/SQRT(2)</f>
        <v>3.586</v>
      </c>
      <c r="T44" s="3">
        <f t="shared" si="23"/>
        <v>0.0007071067812</v>
      </c>
      <c r="U44" s="3">
        <f t="shared" ref="U44:Z44" si="24">R25/SQRT(2)</f>
        <v>3.001074316</v>
      </c>
      <c r="V44" s="3">
        <f t="shared" si="24"/>
        <v>0.0007071067812</v>
      </c>
      <c r="W44" s="3">
        <f t="shared" si="24"/>
        <v>0.005712899533</v>
      </c>
      <c r="X44" s="3">
        <f t="shared" si="24"/>
        <v>0.000007071067812</v>
      </c>
      <c r="Y44" s="3">
        <f t="shared" si="24"/>
        <v>0.3001074316</v>
      </c>
      <c r="Z44" s="3">
        <f t="shared" si="24"/>
        <v>0.00007071067812</v>
      </c>
      <c r="AA44" s="3"/>
      <c r="AB44" s="3"/>
    </row>
    <row r="45">
      <c r="A45" s="3"/>
      <c r="B45" s="3"/>
      <c r="C45" s="3"/>
      <c r="D45" s="1">
        <v>4.591</v>
      </c>
      <c r="E45" s="1">
        <v>0.001</v>
      </c>
      <c r="F45" s="1">
        <v>3.257</v>
      </c>
      <c r="G45" s="1">
        <v>0.001</v>
      </c>
      <c r="H45" s="3">
        <v>0.00804676156324594</v>
      </c>
      <c r="I45" s="3">
        <v>2.3004077995644688E-4</v>
      </c>
      <c r="J45" s="3">
        <v>0.3257</v>
      </c>
      <c r="K45" s="3">
        <v>0.003357</v>
      </c>
      <c r="L45" s="3"/>
      <c r="M45" s="3"/>
      <c r="N45" s="3"/>
      <c r="O45" s="3"/>
      <c r="P45" s="1">
        <f t="shared" si="10"/>
        <v>0.9112835462</v>
      </c>
      <c r="Q45" s="3"/>
      <c r="R45" s="3"/>
      <c r="S45" s="3">
        <f t="shared" ref="S45:T45" si="25">N26/SQRT(2)</f>
        <v>4.047</v>
      </c>
      <c r="T45" s="3">
        <f t="shared" si="25"/>
        <v>0.0007071067812</v>
      </c>
      <c r="U45" s="3">
        <f t="shared" ref="U45:Z45" si="26">R26/SQRT(2)</f>
        <v>3.40973961</v>
      </c>
      <c r="V45" s="3">
        <f t="shared" si="26"/>
        <v>0.0007071067812</v>
      </c>
      <c r="W45" s="3">
        <f t="shared" si="26"/>
        <v>0.006743691514</v>
      </c>
      <c r="X45" s="3">
        <f t="shared" si="26"/>
        <v>0.000007071067812</v>
      </c>
      <c r="Y45" s="3">
        <f t="shared" si="26"/>
        <v>0.340973961</v>
      </c>
      <c r="Z45" s="3">
        <f t="shared" si="26"/>
        <v>0.00007071067812</v>
      </c>
      <c r="AA45" s="3"/>
      <c r="AB45" s="3"/>
    </row>
    <row r="46">
      <c r="A46" s="3"/>
      <c r="B46" s="3"/>
      <c r="C46" s="3"/>
      <c r="D46" s="1">
        <v>5.08</v>
      </c>
      <c r="E46" s="1">
        <v>0.001</v>
      </c>
      <c r="F46" s="1">
        <v>3.805</v>
      </c>
      <c r="G46" s="1">
        <v>0.001</v>
      </c>
      <c r="H46" s="3">
        <v>0.00926633881272618</v>
      </c>
      <c r="I46" s="3">
        <v>2.522719936716055E-4</v>
      </c>
      <c r="J46" s="3">
        <v>0.3805</v>
      </c>
      <c r="K46" s="3">
        <v>0.0039050000000000005</v>
      </c>
      <c r="L46" s="3"/>
      <c r="M46" s="3"/>
      <c r="N46" s="3"/>
      <c r="O46" s="3"/>
      <c r="P46" s="1">
        <f t="shared" si="10"/>
        <v>0.907779492</v>
      </c>
      <c r="Q46" s="3"/>
      <c r="R46" s="3"/>
      <c r="S46" s="3">
        <f t="shared" ref="S46:T46" si="27">N27/SQRT(2)</f>
        <v>4.591</v>
      </c>
      <c r="T46" s="3">
        <f t="shared" si="27"/>
        <v>0.0007071067812</v>
      </c>
      <c r="U46" s="3">
        <f t="shared" ref="U46:Z46" si="28">R27/SQRT(2)</f>
        <v>3.889080225</v>
      </c>
      <c r="V46" s="3">
        <f t="shared" si="28"/>
        <v>0.0007071067812</v>
      </c>
      <c r="W46" s="3">
        <f t="shared" si="28"/>
        <v>0.008028985368</v>
      </c>
      <c r="X46" s="3">
        <f t="shared" si="28"/>
        <v>0.000007071067812</v>
      </c>
      <c r="Y46" s="3">
        <f t="shared" si="28"/>
        <v>0.3889080225</v>
      </c>
      <c r="Z46" s="3">
        <f t="shared" si="28"/>
        <v>0.00007071067812</v>
      </c>
      <c r="AA46" s="3"/>
      <c r="AB46" s="3"/>
    </row>
    <row r="47">
      <c r="A47" s="3"/>
      <c r="B47" s="3"/>
      <c r="C47" s="3"/>
      <c r="D47" s="1">
        <v>5.558</v>
      </c>
      <c r="E47" s="1">
        <v>0.001</v>
      </c>
      <c r="F47" s="1">
        <v>4.23</v>
      </c>
      <c r="G47" s="1">
        <v>0.001</v>
      </c>
      <c r="H47" s="3">
        <v>0.010513561838855314</v>
      </c>
      <c r="I47" s="3">
        <v>2.7400311873468483E-4</v>
      </c>
      <c r="J47" s="3">
        <v>0.42300000000000004</v>
      </c>
      <c r="K47" s="3">
        <v>0.0043300000000000005</v>
      </c>
      <c r="L47" s="3"/>
      <c r="M47" s="3"/>
      <c r="N47" s="3"/>
      <c r="O47" s="3"/>
      <c r="P47" s="1">
        <f t="shared" si="10"/>
        <v>0.9047861117</v>
      </c>
      <c r="Q47" s="3"/>
      <c r="R47" s="3"/>
      <c r="S47" s="3">
        <f t="shared" ref="S47:T47" si="29">N28/SQRT(2)</f>
        <v>5.08</v>
      </c>
      <c r="T47" s="3">
        <f t="shared" si="29"/>
        <v>0.0007071067812</v>
      </c>
      <c r="U47" s="3">
        <f t="shared" ref="U47:Z47" si="30">R28/SQRT(2)</f>
        <v>4.317282879</v>
      </c>
      <c r="V47" s="3">
        <f t="shared" si="30"/>
        <v>0.0007071067812</v>
      </c>
      <c r="W47" s="3">
        <f t="shared" si="30"/>
        <v>0.009246128271</v>
      </c>
      <c r="X47" s="3">
        <f t="shared" si="30"/>
        <v>0.000007071067812</v>
      </c>
      <c r="Y47" s="3">
        <f t="shared" si="30"/>
        <v>0.4317282879</v>
      </c>
      <c r="Z47" s="3">
        <f t="shared" si="30"/>
        <v>0.00007071067812</v>
      </c>
      <c r="AA47" s="3"/>
      <c r="AB47" s="3"/>
    </row>
    <row r="48">
      <c r="A48" s="3"/>
      <c r="B48" s="3"/>
      <c r="C48" s="3"/>
      <c r="D48" s="1">
        <v>6.07</v>
      </c>
      <c r="E48" s="1">
        <v>0.001</v>
      </c>
      <c r="F48" s="1">
        <v>4.65</v>
      </c>
      <c r="G48" s="1">
        <v>0.001</v>
      </c>
      <c r="H48" s="3">
        <v>0.01193557534589071</v>
      </c>
      <c r="I48" s="3">
        <v>2.9727997235873645E-4</v>
      </c>
      <c r="J48" s="3">
        <v>0.465</v>
      </c>
      <c r="K48" s="3">
        <v>0.004750000000000001</v>
      </c>
      <c r="L48" s="3"/>
      <c r="M48" s="3"/>
      <c r="N48" s="3"/>
      <c r="O48" s="3"/>
      <c r="P48" s="1">
        <f t="shared" si="10"/>
        <v>0.901906174</v>
      </c>
      <c r="Q48" s="3"/>
      <c r="R48" s="3"/>
      <c r="S48" s="3">
        <f t="shared" ref="S48:T48" si="31">N29/SQRT(2)</f>
        <v>5.558</v>
      </c>
      <c r="T48" s="3">
        <f t="shared" si="31"/>
        <v>0.0007071067812</v>
      </c>
      <c r="U48" s="3">
        <f t="shared" ref="U48:Z48" si="32">R29/SQRT(2)</f>
        <v>4.733436433</v>
      </c>
      <c r="V48" s="3">
        <f t="shared" si="32"/>
        <v>0.0007071067812</v>
      </c>
      <c r="W48" s="3">
        <f t="shared" si="32"/>
        <v>0.01049141402</v>
      </c>
      <c r="X48" s="3">
        <f t="shared" si="32"/>
        <v>0.000007071067812</v>
      </c>
      <c r="Y48" s="3">
        <f t="shared" si="32"/>
        <v>0.4733436433</v>
      </c>
      <c r="Z48" s="3">
        <f t="shared" si="32"/>
        <v>0.00007071067812</v>
      </c>
      <c r="AA48" s="3"/>
      <c r="AB48" s="3"/>
    </row>
    <row r="49">
      <c r="A49" s="3"/>
      <c r="B49" s="3"/>
      <c r="C49" s="3"/>
      <c r="D49" s="1">
        <v>6.58</v>
      </c>
      <c r="E49" s="1">
        <v>0.001</v>
      </c>
      <c r="F49" s="1">
        <v>5.09</v>
      </c>
      <c r="G49" s="1">
        <v>0.001</v>
      </c>
      <c r="H49" s="3">
        <v>0.013358366412197245</v>
      </c>
      <c r="I49" s="3">
        <v>3.20465900773319E-4</v>
      </c>
      <c r="J49" s="3">
        <v>0.509</v>
      </c>
      <c r="K49" s="3">
        <v>0.00519</v>
      </c>
      <c r="L49" s="3"/>
      <c r="M49" s="3"/>
      <c r="N49" s="3"/>
      <c r="O49" s="3"/>
      <c r="P49" s="1">
        <f t="shared" si="10"/>
        <v>0.8997981568</v>
      </c>
      <c r="Q49" s="3"/>
      <c r="R49" s="3"/>
      <c r="S49" s="3">
        <f t="shared" ref="S49:T49" si="33">N30/SQRT(2)</f>
        <v>6.07</v>
      </c>
      <c r="T49" s="3">
        <f t="shared" si="33"/>
        <v>0.0007071067812</v>
      </c>
      <c r="U49" s="3">
        <f t="shared" ref="U49:Z49" si="34">R30/SQRT(2)</f>
        <v>5.175286247</v>
      </c>
      <c r="V49" s="3">
        <f t="shared" si="34"/>
        <v>0.0007071067812</v>
      </c>
      <c r="W49" s="3">
        <f t="shared" si="34"/>
        <v>0.01187218143</v>
      </c>
      <c r="X49" s="3">
        <f t="shared" si="34"/>
        <v>0.000007071067812</v>
      </c>
      <c r="Y49" s="3">
        <f t="shared" si="34"/>
        <v>0.5175286247</v>
      </c>
      <c r="Z49" s="3">
        <f t="shared" si="34"/>
        <v>0.00007071067812</v>
      </c>
      <c r="AA49" s="3"/>
      <c r="AB49" s="3"/>
    </row>
    <row r="50">
      <c r="A50" s="3"/>
      <c r="B50" s="3"/>
      <c r="C50" s="3"/>
      <c r="D50" s="1">
        <v>7.05</v>
      </c>
      <c r="E50" s="1">
        <v>0.001</v>
      </c>
      <c r="F50" s="1">
        <v>5.44</v>
      </c>
      <c r="G50" s="1">
        <v>0.001</v>
      </c>
      <c r="H50" s="3">
        <v>0.014745447191516802</v>
      </c>
      <c r="I50" s="3">
        <v>3.4183332499852255E-4</v>
      </c>
      <c r="J50" s="3">
        <v>0.544</v>
      </c>
      <c r="K50" s="3">
        <v>0.005540000000000001</v>
      </c>
      <c r="L50" s="3"/>
      <c r="M50" s="3"/>
      <c r="N50" s="3"/>
      <c r="O50" s="3"/>
      <c r="P50" s="1"/>
      <c r="Q50" s="3"/>
      <c r="R50" s="3"/>
      <c r="S50" s="3">
        <f t="shared" ref="S50:T50" si="35">N31/SQRT(2)</f>
        <v>6.58</v>
      </c>
      <c r="T50" s="3">
        <f t="shared" si="35"/>
        <v>0.0007071067812</v>
      </c>
      <c r="U50" s="3">
        <f t="shared" ref="U50:Z50" si="36">R31/SQRT(2)</f>
        <v>5.615255158</v>
      </c>
      <c r="V50" s="3">
        <f t="shared" si="36"/>
        <v>0.0007071067812</v>
      </c>
      <c r="W50" s="3">
        <f t="shared" si="36"/>
        <v>0.01333193267</v>
      </c>
      <c r="X50" s="3">
        <f t="shared" si="36"/>
        <v>0.000007071067812</v>
      </c>
      <c r="Y50" s="3">
        <f t="shared" si="36"/>
        <v>0.5615255158</v>
      </c>
      <c r="Z50" s="3">
        <f t="shared" si="36"/>
        <v>0.00007071067812</v>
      </c>
      <c r="AA50" s="3"/>
      <c r="AB50" s="3"/>
    </row>
    <row r="51">
      <c r="A51" s="3"/>
      <c r="B51" s="3"/>
      <c r="C51" s="3"/>
      <c r="D51" s="1">
        <v>7.4</v>
      </c>
      <c r="E51" s="1">
        <v>0.001</v>
      </c>
      <c r="F51" s="1">
        <v>5.89</v>
      </c>
      <c r="G51" s="1">
        <v>0.001</v>
      </c>
      <c r="H51" s="3">
        <v>0.015810098925753004</v>
      </c>
      <c r="I51" s="3">
        <v>3.577452366555891E-4</v>
      </c>
      <c r="J51" s="3">
        <v>0.589</v>
      </c>
      <c r="K51" s="3">
        <v>0.00599</v>
      </c>
      <c r="L51" s="3"/>
      <c r="M51" s="3"/>
      <c r="N51" s="3"/>
      <c r="O51" s="3"/>
      <c r="P51" s="1"/>
      <c r="Q51" s="3"/>
      <c r="R51" s="3"/>
      <c r="S51" s="3">
        <f t="shared" ref="S51:T51" si="37">N32/SQRT(2)</f>
        <v>7.05</v>
      </c>
      <c r="T51" s="3">
        <f t="shared" si="37"/>
        <v>0.0007071067812</v>
      </c>
      <c r="U51" s="3">
        <f t="shared" ref="U51:Z51" si="38">R32/SQRT(2)</f>
        <v>6.017231221</v>
      </c>
      <c r="V51" s="3">
        <f t="shared" si="38"/>
        <v>0.0007071067812</v>
      </c>
      <c r="W51" s="3">
        <f t="shared" si="38"/>
        <v>0.01471708415</v>
      </c>
      <c r="X51" s="3">
        <f t="shared" si="38"/>
        <v>0.000007071067812</v>
      </c>
      <c r="Y51" s="3">
        <f t="shared" si="38"/>
        <v>0.6017231221</v>
      </c>
      <c r="Z51" s="3">
        <f t="shared" si="38"/>
        <v>0.00007071067812</v>
      </c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f t="shared" ref="S52:T52" si="39">N33/SQRT(2)</f>
        <v>7.4</v>
      </c>
      <c r="T52" s="3">
        <f t="shared" si="39"/>
        <v>0.0007071067812</v>
      </c>
      <c r="U52" s="3">
        <f t="shared" ref="U52:Z52" si="40">R33/SQRT(2)</f>
        <v>6.315142379</v>
      </c>
      <c r="V52" s="3">
        <f t="shared" si="40"/>
        <v>0.0007071067812</v>
      </c>
      <c r="W52" s="3">
        <f t="shared" si="40"/>
        <v>0.01578078488</v>
      </c>
      <c r="X52" s="3">
        <f t="shared" si="40"/>
        <v>0.000007071067812</v>
      </c>
      <c r="Y52" s="3">
        <f t="shared" si="40"/>
        <v>0.6315142379</v>
      </c>
      <c r="Z52" s="3">
        <f t="shared" si="40"/>
        <v>0.00007071067812</v>
      </c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10" max="10" width="16.88"/>
  </cols>
  <sheetData>
    <row r="1">
      <c r="A1" s="3"/>
      <c r="B1" s="4" t="s">
        <v>35</v>
      </c>
      <c r="C1" s="10" t="s">
        <v>10</v>
      </c>
      <c r="D1" s="4" t="s">
        <v>36</v>
      </c>
      <c r="E1" s="10" t="s">
        <v>10</v>
      </c>
      <c r="F1" s="3"/>
      <c r="G1" s="4" t="s">
        <v>37</v>
      </c>
      <c r="H1" s="10" t="s">
        <v>10</v>
      </c>
      <c r="I1" s="4" t="s">
        <v>6</v>
      </c>
      <c r="J1" s="10" t="s">
        <v>10</v>
      </c>
      <c r="K1" s="3"/>
      <c r="L1" s="11" t="s">
        <v>38</v>
      </c>
      <c r="M1" s="3"/>
      <c r="N1" s="3"/>
      <c r="O1" s="3"/>
      <c r="P1" s="3"/>
      <c r="Q1" s="4" t="s">
        <v>37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/>
      <c r="B2" s="1">
        <v>302.0</v>
      </c>
      <c r="C2" s="1">
        <v>1.0</v>
      </c>
      <c r="D2" s="3">
        <f>1/B2</f>
        <v>0.003311258278</v>
      </c>
      <c r="E2" s="3">
        <f>C2/B2^2</f>
        <v>0.00001096443138</v>
      </c>
      <c r="F2" s="3"/>
      <c r="G2" s="1">
        <v>10.0</v>
      </c>
      <c r="H2" s="1">
        <v>0.1</v>
      </c>
      <c r="I2" s="1">
        <v>46.9</v>
      </c>
      <c r="J2" s="1">
        <v>0.1</v>
      </c>
      <c r="K2" s="3"/>
      <c r="L2" s="3"/>
      <c r="M2" s="3"/>
      <c r="N2" s="3"/>
      <c r="O2" s="3"/>
      <c r="P2" s="3"/>
      <c r="Q2" s="1">
        <v>10.0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4" t="s">
        <v>16</v>
      </c>
      <c r="C4" s="4" t="s">
        <v>2</v>
      </c>
      <c r="D4" s="4" t="s">
        <v>18</v>
      </c>
      <c r="E4" s="4" t="s">
        <v>4</v>
      </c>
      <c r="F4" s="3"/>
      <c r="G4" s="3"/>
      <c r="H4" s="3"/>
      <c r="I4" s="3"/>
      <c r="J4" s="3"/>
      <c r="K4" s="3"/>
      <c r="L4" s="4" t="s">
        <v>16</v>
      </c>
      <c r="M4" s="4" t="s">
        <v>2</v>
      </c>
      <c r="N4" s="4" t="s">
        <v>18</v>
      </c>
      <c r="O4" s="4" t="s">
        <v>4</v>
      </c>
      <c r="P4" s="3"/>
      <c r="Q4" s="1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1">
        <v>9.6</v>
      </c>
      <c r="C5" s="1">
        <v>0.32</v>
      </c>
      <c r="D5" s="1">
        <v>9.5</v>
      </c>
      <c r="E5" s="1">
        <v>0.21</v>
      </c>
      <c r="F5" s="3"/>
      <c r="G5" s="3"/>
      <c r="H5" s="3"/>
      <c r="I5" s="3"/>
      <c r="J5" s="3"/>
      <c r="K5" s="3"/>
      <c r="L5" s="1">
        <v>9.6</v>
      </c>
      <c r="M5" s="1">
        <f>0.457914</f>
        <v>0.457914</v>
      </c>
      <c r="N5" s="1">
        <v>9.5</v>
      </c>
      <c r="O5" s="1">
        <v>0.0800762</v>
      </c>
      <c r="P5" s="3"/>
      <c r="Q5" s="1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0" t="s">
        <v>7</v>
      </c>
      <c r="B6" s="1">
        <v>0.1</v>
      </c>
      <c r="C6" s="1">
        <v>0.01</v>
      </c>
      <c r="D6" s="1">
        <v>0.1</v>
      </c>
      <c r="E6" s="1">
        <v>0.01</v>
      </c>
      <c r="F6" s="3"/>
      <c r="G6" s="3"/>
      <c r="H6" s="3"/>
      <c r="I6" s="3"/>
      <c r="J6" s="3"/>
      <c r="K6" s="3"/>
      <c r="L6" s="1"/>
      <c r="M6" s="1"/>
      <c r="N6" s="1"/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1"/>
      <c r="C7" s="1"/>
      <c r="D7" s="3"/>
      <c r="E7" s="1"/>
      <c r="F7" s="1"/>
      <c r="G7" s="3"/>
      <c r="H7" s="1"/>
      <c r="I7" s="1"/>
      <c r="J7" s="3"/>
      <c r="K7" s="3"/>
      <c r="L7" s="3"/>
      <c r="M7" s="3"/>
      <c r="N7" s="3"/>
      <c r="O7" s="3"/>
      <c r="P7" s="3"/>
      <c r="Q7" s="1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8" t="s">
        <v>39</v>
      </c>
      <c r="C8" s="8" t="s">
        <v>40</v>
      </c>
      <c r="D8" s="1" t="s">
        <v>41</v>
      </c>
      <c r="E8" s="8" t="s">
        <v>42</v>
      </c>
      <c r="F8" s="8" t="s">
        <v>43</v>
      </c>
      <c r="G8" s="3"/>
      <c r="H8" s="8" t="s">
        <v>44</v>
      </c>
      <c r="I8" s="8" t="s">
        <v>45</v>
      </c>
      <c r="J8" s="1" t="s">
        <v>41</v>
      </c>
      <c r="K8" s="3"/>
      <c r="L8" s="8" t="s">
        <v>23</v>
      </c>
      <c r="M8" s="3"/>
      <c r="N8" s="1"/>
      <c r="O8" s="1"/>
      <c r="P8" s="3"/>
      <c r="Q8" s="3"/>
      <c r="R8" s="8" t="s">
        <v>44</v>
      </c>
      <c r="S8" s="1"/>
      <c r="T8" s="3"/>
      <c r="U8" s="1"/>
      <c r="V8" s="3"/>
      <c r="W8" s="3"/>
      <c r="X8" s="3"/>
      <c r="Y8" s="3"/>
      <c r="Z8" s="3"/>
      <c r="AA8" s="3"/>
    </row>
    <row r="9">
      <c r="A9" s="1"/>
      <c r="B9" s="1">
        <v>7.4</v>
      </c>
      <c r="C9" s="1">
        <v>-0.004</v>
      </c>
      <c r="D9" s="3"/>
      <c r="E9" s="1">
        <v>0.347</v>
      </c>
      <c r="F9" s="1">
        <v>0.03</v>
      </c>
      <c r="G9" s="3"/>
      <c r="H9" s="1">
        <v>6.08</v>
      </c>
      <c r="I9" s="1">
        <v>-0.002</v>
      </c>
      <c r="J9" s="3"/>
      <c r="K9" s="3"/>
      <c r="L9" s="1">
        <v>10.465180361560904</v>
      </c>
      <c r="M9" s="1"/>
      <c r="N9" s="3"/>
      <c r="O9" s="1"/>
      <c r="P9" s="1"/>
      <c r="Q9" s="3"/>
      <c r="R9" s="1">
        <f>8.93097/SQRT(2)</f>
        <v>6.31514945</v>
      </c>
      <c r="S9" s="1"/>
      <c r="T9" s="1"/>
      <c r="U9" s="3"/>
      <c r="V9" s="3"/>
      <c r="W9" s="3"/>
      <c r="X9" s="3"/>
      <c r="Y9" s="3"/>
      <c r="Z9" s="3"/>
      <c r="AA9" s="3"/>
    </row>
    <row r="10">
      <c r="A10" s="10" t="s">
        <v>7</v>
      </c>
      <c r="B10" s="1">
        <v>0.1</v>
      </c>
      <c r="C10" s="1">
        <v>0.001</v>
      </c>
      <c r="D10" s="3"/>
      <c r="E10" s="1">
        <v>0.001</v>
      </c>
      <c r="F10" s="1">
        <v>0.001</v>
      </c>
      <c r="G10" s="3"/>
      <c r="H10" s="1">
        <v>0.01</v>
      </c>
      <c r="I10" s="1">
        <v>0.001</v>
      </c>
      <c r="J10" s="3"/>
      <c r="K10" s="3"/>
      <c r="L10" s="1"/>
      <c r="M10" s="1"/>
      <c r="N10" s="1"/>
      <c r="O10" s="3"/>
      <c r="P10" s="1"/>
      <c r="Q10" s="1"/>
      <c r="R10" s="3"/>
      <c r="S10" s="1"/>
      <c r="T10" s="1"/>
      <c r="U10" s="3"/>
      <c r="V10" s="3"/>
      <c r="W10" s="3"/>
      <c r="X10" s="3"/>
      <c r="Y10" s="3"/>
      <c r="Z10" s="3"/>
      <c r="AA10" s="3"/>
    </row>
    <row r="11">
      <c r="A11" s="1"/>
      <c r="B11" s="1"/>
      <c r="C11" s="3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" t="s">
        <v>46</v>
      </c>
      <c r="C12" s="3"/>
      <c r="D12" s="1" t="s">
        <v>47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/>
      <c r="B13" s="1">
        <v>9.35</v>
      </c>
      <c r="C13" s="3"/>
      <c r="D13" s="1">
        <v>9.25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/>
      <c r="B16" s="8" t="s">
        <v>48</v>
      </c>
      <c r="C16" s="8" t="s">
        <v>49</v>
      </c>
      <c r="D16" s="8" t="s">
        <v>50</v>
      </c>
      <c r="E16" s="8" t="s">
        <v>51</v>
      </c>
      <c r="F16" s="8" t="s">
        <v>52</v>
      </c>
      <c r="G16" s="8" t="s">
        <v>53</v>
      </c>
      <c r="H16" s="1" t="s">
        <v>54</v>
      </c>
      <c r="I16" s="3"/>
      <c r="J16" s="3"/>
      <c r="K16" s="1"/>
      <c r="L16" s="8" t="s">
        <v>48</v>
      </c>
      <c r="M16" s="8" t="s">
        <v>49</v>
      </c>
      <c r="N16" s="8" t="s">
        <v>50</v>
      </c>
      <c r="O16" s="8" t="s">
        <v>51</v>
      </c>
      <c r="P16" s="8" t="s">
        <v>52</v>
      </c>
      <c r="Q16" s="8" t="s">
        <v>53</v>
      </c>
      <c r="R16" s="1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/>
      <c r="B17" s="1">
        <f>B5*C5</f>
        <v>3.072</v>
      </c>
      <c r="C17" s="3">
        <f>D5*E5</f>
        <v>1.995</v>
      </c>
      <c r="D17" s="3">
        <f t="shared" ref="D17:D18" si="1">B17+C17</f>
        <v>5.067</v>
      </c>
      <c r="E17" s="3">
        <f>H9^2/G2</f>
        <v>3.69664</v>
      </c>
      <c r="F17" s="3">
        <f>(1/PI())*SQRT(2)*H9*B5/G2-0.5*H9^2/G2</f>
        <v>0.7791631371</v>
      </c>
      <c r="G17" s="3">
        <f>(1/PI())*SQRT(2)*H9*D5/G2-0.5*H9^2/G2</f>
        <v>0.7517935211</v>
      </c>
      <c r="H17" s="3">
        <f>F17+G17</f>
        <v>1.530956658</v>
      </c>
      <c r="I17" s="3"/>
      <c r="J17" s="3"/>
      <c r="K17" s="1"/>
      <c r="L17" s="1">
        <f>L5*M5</f>
        <v>4.3959744</v>
      </c>
      <c r="M17" s="3">
        <f>N5*O5</f>
        <v>0.7607239</v>
      </c>
      <c r="N17" s="3">
        <f>L17+M17</f>
        <v>5.1566983</v>
      </c>
      <c r="O17" s="3">
        <f>R9^2/Q2</f>
        <v>3.988111257</v>
      </c>
      <c r="P17" s="3">
        <f>(1/PI())*SQRT(2)*R9*L5/Q2-0.5*R9^2/Q2</f>
        <v>0.7350477739</v>
      </c>
      <c r="Q17" s="3">
        <f>(1/PI())*SQRT(2)*R9*N5/Q2-0.5*R9^2/Q2</f>
        <v>0.7066196135</v>
      </c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0" t="s">
        <v>7</v>
      </c>
      <c r="B18" s="3">
        <f>B6*C5+B5*C6</f>
        <v>0.128</v>
      </c>
      <c r="C18" s="3">
        <f>D6*E5+E6*D5</f>
        <v>0.116</v>
      </c>
      <c r="D18" s="3">
        <f t="shared" si="1"/>
        <v>0.244</v>
      </c>
      <c r="E18" s="3">
        <f>(2*H9*H10)/G2+(H9^2*H2)/G2^2</f>
        <v>0.0491264</v>
      </c>
      <c r="F18" s="3">
        <f>ABS((1/PI())*(SQRT(2)*B5)/G2-0.5*2*H9/G2)*H10+ABS((1/PI())*SQRT(2)*H9/G2)*B6+ABS(-(1/PI())*SQRT(2)*H9*B5/G2^2+0.5*H9^2/G2^2)*H2</f>
        <v>0.03691972906</v>
      </c>
      <c r="G18" s="3">
        <f>ABS((1/PI())*(SQRT(2)*D5)/G2-0.5*2*H9/G2)*H10+ABS((1/PI())*SQRT(2)*H9/G2)*D6+ABS(-(1/PI())*SQRT(2)*H9*D5/G2^2+0.5*H9^2/G2^2)*H2</f>
        <v>0.03669104872</v>
      </c>
      <c r="H18" s="3"/>
      <c r="I18" s="3"/>
      <c r="J18" s="3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12" t="s">
        <v>55</v>
      </c>
      <c r="C20" s="10" t="s">
        <v>10</v>
      </c>
      <c r="D20" s="3"/>
      <c r="E20" s="3"/>
      <c r="F20" s="3"/>
      <c r="G20" s="3"/>
      <c r="H20" s="3"/>
      <c r="I20" s="3"/>
      <c r="J20" s="3"/>
      <c r="K20" s="3"/>
      <c r="L20" s="12" t="s">
        <v>55</v>
      </c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13">
        <f>E17/D17</f>
        <v>0.7295520032</v>
      </c>
      <c r="C21" s="13">
        <f>E18/D17+(D18*E17)/D17^2</f>
        <v>0.04482673945</v>
      </c>
      <c r="D21" s="3"/>
      <c r="E21" s="3"/>
      <c r="F21" s="3"/>
      <c r="G21" s="3"/>
      <c r="H21" s="3"/>
      <c r="I21" s="3"/>
      <c r="J21" s="3"/>
      <c r="K21" s="3"/>
      <c r="L21" s="13">
        <f>O17/N17</f>
        <v>0.7733846398</v>
      </c>
      <c r="M21" s="13"/>
      <c r="N21" s="1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8" t="s">
        <v>56</v>
      </c>
      <c r="E23" s="10" t="s">
        <v>10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>
        <f>(1/PI())*B5*H9*SQRT(2)/G2+(1/PI())*D5*H9*SQRT(2)/G2</f>
        <v>5.227596658</v>
      </c>
      <c r="E24" s="3">
        <f>(1/PI()*SQRT(2)*B5/G2+1/PI()*D5*SQRT(2)/G2)*H10+(1/PI()*B5*SQRT(2)*H9/G2^2+1/PI()*D5*SQRT(2)*H9/G2^2)*H2+(1/PI()*SQRT(2)*H9/G2)*B6+(1/PI()*SQRT(2)*H9/G2)*D6</f>
        <v>0.1156132194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</cols>
  <sheetData>
    <row r="1">
      <c r="A1" s="5" t="s">
        <v>57</v>
      </c>
      <c r="B1" s="14" t="s">
        <v>10</v>
      </c>
      <c r="C1" s="5" t="s">
        <v>58</v>
      </c>
      <c r="D1" s="14" t="s">
        <v>10</v>
      </c>
      <c r="E1" s="3"/>
      <c r="F1" s="5" t="s">
        <v>6</v>
      </c>
      <c r="G1" s="14" t="s">
        <v>10</v>
      </c>
      <c r="H1" s="5" t="s">
        <v>59</v>
      </c>
      <c r="I1" s="14" t="s">
        <v>10</v>
      </c>
      <c r="J1" s="5" t="s">
        <v>60</v>
      </c>
      <c r="K1" s="14" t="s">
        <v>10</v>
      </c>
      <c r="L1" s="5" t="s">
        <v>5</v>
      </c>
      <c r="M1" s="14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f>'0_A'!F33/3</f>
        <v>1.963333333</v>
      </c>
      <c r="B2" s="3">
        <f>'0_A'!G33/3</f>
        <v>0.0003333333333</v>
      </c>
      <c r="C2" s="1" t="s">
        <v>61</v>
      </c>
      <c r="D2" s="1">
        <v>0.001</v>
      </c>
      <c r="E2" s="3"/>
      <c r="F2" s="1">
        <f>'0_A'!I3</f>
        <v>46.9</v>
      </c>
      <c r="G2" s="1">
        <v>0.1</v>
      </c>
      <c r="H2" s="1">
        <v>42.5</v>
      </c>
      <c r="I2" s="1">
        <v>0.5</v>
      </c>
      <c r="J2" s="1">
        <v>0.853</v>
      </c>
      <c r="K2" s="1">
        <v>0.001</v>
      </c>
      <c r="L2" s="1">
        <v>10.0</v>
      </c>
      <c r="M2" s="1">
        <v>0.1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1">
        <v>0.0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23</v>
      </c>
      <c r="B4" s="14" t="s">
        <v>10</v>
      </c>
      <c r="C4" s="4" t="s">
        <v>24</v>
      </c>
      <c r="D4" s="14" t="s">
        <v>10</v>
      </c>
      <c r="E4" s="4" t="s">
        <v>62</v>
      </c>
      <c r="F4" s="14" t="s">
        <v>10</v>
      </c>
      <c r="G4" s="3"/>
      <c r="H4" s="4" t="s">
        <v>63</v>
      </c>
      <c r="I4" s="14" t="s">
        <v>10</v>
      </c>
      <c r="J4" s="3"/>
      <c r="K4" s="3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2.826</v>
      </c>
      <c r="B5" s="1">
        <v>0.001</v>
      </c>
      <c r="C5" s="3">
        <f>A8/F2</f>
        <v>0.002579957356</v>
      </c>
      <c r="D5" s="3">
        <f>B8/F2+(A8*G2)/F2^2</f>
        <v>0.00002682293679</v>
      </c>
      <c r="E5" s="3">
        <f>A5/C5</f>
        <v>1095.366942</v>
      </c>
      <c r="F5" s="3">
        <f>B5/C5+(A5*D5)/C5^2</f>
        <v>11.77575985</v>
      </c>
      <c r="G5" s="3"/>
      <c r="H5" s="1">
        <f>(L2*H2)/J2</f>
        <v>498.2415006</v>
      </c>
      <c r="I5" s="3">
        <f>(M2*H2)/J2+(L2*I2)/J2+(L2*H2*K2)/J2^2</f>
        <v>11.42818464</v>
      </c>
      <c r="J5" s="3"/>
      <c r="K5" s="3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1" t="s">
        <v>64</v>
      </c>
      <c r="F6" s="3"/>
      <c r="G6" s="3"/>
      <c r="H6" s="3"/>
      <c r="I6" s="3"/>
      <c r="J6" s="3"/>
      <c r="K6" s="3"/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65</v>
      </c>
      <c r="B7" s="14" t="s">
        <v>10</v>
      </c>
      <c r="C7" s="3"/>
      <c r="D7" s="3"/>
      <c r="E7" s="3">
        <f t="shared" ref="E7:F7" si="1">E5/1000</f>
        <v>1.095366942</v>
      </c>
      <c r="F7" s="3">
        <f t="shared" si="1"/>
        <v>0.01177575985</v>
      </c>
      <c r="G7" s="3"/>
      <c r="H7" s="4" t="s">
        <v>66</v>
      </c>
      <c r="I7" s="14" t="s">
        <v>10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0.121</v>
      </c>
      <c r="B8" s="1">
        <v>0.001</v>
      </c>
      <c r="C8" s="3"/>
      <c r="D8" s="3"/>
      <c r="E8" s="3"/>
      <c r="F8" s="3"/>
      <c r="G8" s="3"/>
      <c r="H8" s="3">
        <f>(F2+50)/H2</f>
        <v>2.28</v>
      </c>
      <c r="I8" s="3">
        <f>G2/H2+((F2+50)*I2)/H2^2</f>
        <v>0.02917647059</v>
      </c>
      <c r="J8" s="3"/>
      <c r="K8" s="3"/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67</v>
      </c>
      <c r="B11" s="14" t="s">
        <v>10</v>
      </c>
      <c r="C11" s="5" t="s">
        <v>25</v>
      </c>
      <c r="D11" s="14" t="s">
        <v>10</v>
      </c>
      <c r="E11" s="1"/>
      <c r="F11" s="3"/>
      <c r="G11" s="3"/>
      <c r="H11" s="1"/>
      <c r="I11" s="4" t="s">
        <v>68</v>
      </c>
      <c r="J11" s="14" t="s">
        <v>10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9.4</v>
      </c>
      <c r="B12" s="1">
        <v>0.1</v>
      </c>
      <c r="C12" s="1">
        <v>1.955</v>
      </c>
      <c r="D12" s="1">
        <v>0.001</v>
      </c>
      <c r="E12" s="3"/>
      <c r="F12" s="3"/>
      <c r="G12" s="3"/>
      <c r="H12" s="3"/>
      <c r="I12" s="15">
        <f>(C15-C12)/((C12/A12)-(C15/A15))</f>
        <v>2.526571553</v>
      </c>
      <c r="J12" s="15">
        <f>ABS((A12*A15*C12*(A12-A15)*D12)/(A15*C12-A12*C15)^2)+ABS((A12*A15*C15*(A12-A15)*D15)/(A15*C12-A12*C15)^2)+ABS((A15^2*C12*(C12-C15)*B12)/(A15*C12-A12*C15)^2)+ABS((A12^2*C15*(C12-C15)*B15)/(A15*C12-A12*C15)^2)</f>
        <v>0.3023767398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69</v>
      </c>
      <c r="B14" s="14" t="s">
        <v>10</v>
      </c>
      <c r="C14" s="5" t="s">
        <v>25</v>
      </c>
      <c r="D14" s="14" t="s">
        <v>10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12.1</v>
      </c>
      <c r="B15" s="1">
        <v>0.1</v>
      </c>
      <c r="C15" s="1">
        <v>2.052</v>
      </c>
      <c r="D15" s="1">
        <v>0.001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16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16"/>
      <c r="F23" s="15"/>
      <c r="G23" s="15"/>
      <c r="H23" s="15"/>
      <c r="I23" s="15"/>
      <c r="J23" s="16"/>
      <c r="K23" s="16"/>
      <c r="L23" s="16"/>
      <c r="M23" s="16"/>
      <c r="N23" s="15"/>
      <c r="O23" s="1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16"/>
      <c r="F24" s="15"/>
      <c r="G24" s="15"/>
      <c r="H24" s="15"/>
      <c r="I24" s="15"/>
      <c r="J24" s="16"/>
      <c r="K24" s="16"/>
      <c r="L24" s="16"/>
      <c r="M24" s="16"/>
      <c r="N24" s="15"/>
      <c r="O24" s="1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16"/>
      <c r="F26" s="15"/>
      <c r="G26" s="15"/>
      <c r="H26" s="15"/>
      <c r="I26" s="15"/>
      <c r="J26" s="16"/>
      <c r="K26" s="16"/>
      <c r="L26" s="16"/>
      <c r="M26" s="16"/>
      <c r="N26" s="16"/>
      <c r="O26" s="16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16"/>
      <c r="F27" s="15"/>
      <c r="G27" s="15"/>
      <c r="H27" s="15"/>
      <c r="I27" s="15"/>
      <c r="J27" s="16"/>
      <c r="K27" s="16"/>
      <c r="L27" s="16"/>
      <c r="M27" s="16"/>
      <c r="N27" s="16"/>
      <c r="O27" s="16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88"/>
  </cols>
  <sheetData>
    <row r="1">
      <c r="A1" s="17" t="s">
        <v>70</v>
      </c>
      <c r="B1" s="17" t="s">
        <v>71</v>
      </c>
      <c r="C1" s="15"/>
      <c r="D1" s="17" t="s">
        <v>72</v>
      </c>
      <c r="E1" s="18" t="s">
        <v>5</v>
      </c>
      <c r="F1" s="18" t="s">
        <v>6</v>
      </c>
      <c r="G1" s="19" t="s">
        <v>73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f>'0_A'!B33/3</f>
        <v>2.466666667</v>
      </c>
      <c r="B2" s="3"/>
      <c r="C2" s="3"/>
      <c r="D2" s="1" t="s">
        <v>74</v>
      </c>
      <c r="E2" s="1">
        <v>10.0</v>
      </c>
      <c r="F2" s="3">
        <f>'0_A'!I3</f>
        <v>46.9</v>
      </c>
      <c r="G2" s="1">
        <v>0.1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1" t="s">
        <v>75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3"/>
      <c r="X3" s="3"/>
      <c r="Y3" s="3"/>
      <c r="Z3" s="3"/>
    </row>
    <row r="4">
      <c r="A4" s="18" t="s">
        <v>15</v>
      </c>
      <c r="B4" s="14" t="s">
        <v>10</v>
      </c>
      <c r="C4" s="15"/>
      <c r="D4" s="18" t="s">
        <v>23</v>
      </c>
      <c r="E4" s="14" t="s">
        <v>10</v>
      </c>
      <c r="F4" s="18" t="s">
        <v>24</v>
      </c>
      <c r="G4" s="14" t="s">
        <v>10</v>
      </c>
      <c r="H4" s="15"/>
      <c r="I4" s="20" t="s">
        <v>15</v>
      </c>
      <c r="J4" s="18" t="s">
        <v>25</v>
      </c>
      <c r="K4" s="14" t="s">
        <v>10</v>
      </c>
      <c r="L4" s="18" t="s">
        <v>26</v>
      </c>
      <c r="M4" s="14" t="s">
        <v>10</v>
      </c>
      <c r="N4" s="15"/>
      <c r="O4" s="21" t="s">
        <v>59</v>
      </c>
      <c r="P4" s="14" t="s">
        <v>10</v>
      </c>
      <c r="Q4" s="21" t="s">
        <v>76</v>
      </c>
      <c r="R4" s="14" t="s">
        <v>10</v>
      </c>
      <c r="S4" s="21" t="s">
        <v>77</v>
      </c>
      <c r="T4" s="14" t="s">
        <v>10</v>
      </c>
      <c r="U4" s="3"/>
      <c r="V4" s="1" t="s">
        <v>78</v>
      </c>
      <c r="W4" s="3"/>
      <c r="X4" s="3"/>
      <c r="Y4" s="3"/>
      <c r="Z4" s="3"/>
    </row>
    <row r="5">
      <c r="A5" s="1">
        <v>301.0</v>
      </c>
      <c r="B5" s="1">
        <v>1.0</v>
      </c>
      <c r="C5" s="3"/>
      <c r="D5" s="3">
        <f>309*0.001</f>
        <v>0.309</v>
      </c>
      <c r="E5" s="1">
        <v>0.001</v>
      </c>
      <c r="F5" s="3">
        <f t="shared" ref="F5:F13" si="2">D5/$F$2</f>
        <v>0.006588486141</v>
      </c>
      <c r="G5" s="3">
        <f t="shared" ref="G5:G13" si="3">E5/$F$2+(D5*$G$2)/$F$2^2</f>
        <v>0.00003536990648</v>
      </c>
      <c r="H5" s="1"/>
      <c r="I5" s="1">
        <v>306.0</v>
      </c>
      <c r="J5" s="1">
        <f t="shared" ref="J5:J13" si="4">J16/2</f>
        <v>2.965</v>
      </c>
      <c r="K5" s="22">
        <v>0.01</v>
      </c>
      <c r="L5" s="3">
        <f t="shared" ref="L5:L13" si="5">J5/$E$2</f>
        <v>0.2965</v>
      </c>
      <c r="M5" s="3">
        <f t="shared" ref="M5:M13" si="6">K5/$E$2+(J5*$G$2)/$E$2^2</f>
        <v>0.003965</v>
      </c>
      <c r="N5" s="3"/>
      <c r="O5" s="3">
        <f t="shared" ref="O5:O13" si="7">L5/F5</f>
        <v>45.00275081</v>
      </c>
      <c r="P5" s="3">
        <f t="shared" ref="P5:P13" si="8">M5/F5+(G5*L5)/F5^2</f>
        <v>0.8434021062</v>
      </c>
      <c r="Q5" s="3">
        <f t="shared" ref="Q5:Q13" si="9">LOG(O5)</f>
        <v>1.653239061</v>
      </c>
      <c r="R5" s="3">
        <f t="shared" ref="R5:R13" si="10">P5/(LN(10)*O5)</f>
        <v>0.008139166477</v>
      </c>
      <c r="S5" s="3">
        <f t="shared" ref="S5:T5" si="1">20*Q5</f>
        <v>33.06478122</v>
      </c>
      <c r="T5" s="3">
        <f t="shared" si="1"/>
        <v>0.1627833295</v>
      </c>
      <c r="U5" s="3"/>
      <c r="V5" s="3">
        <f t="shared" ref="V5:V13" si="12">A5</f>
        <v>301</v>
      </c>
      <c r="W5" s="3">
        <f t="shared" ref="W5:W13" si="13">S5</f>
        <v>33.06478122</v>
      </c>
      <c r="X5" s="3"/>
      <c r="Y5" s="3"/>
      <c r="Z5" s="3"/>
    </row>
    <row r="6">
      <c r="A6" s="1">
        <v>1015.0</v>
      </c>
      <c r="B6" s="1">
        <v>1.0</v>
      </c>
      <c r="C6" s="3"/>
      <c r="D6" s="3">
        <f>252*0.001</f>
        <v>0.252</v>
      </c>
      <c r="E6" s="1">
        <v>0.001</v>
      </c>
      <c r="F6" s="3">
        <f t="shared" si="2"/>
        <v>0.005373134328</v>
      </c>
      <c r="G6" s="3">
        <f t="shared" si="3"/>
        <v>0.00003277853801</v>
      </c>
      <c r="H6" s="1"/>
      <c r="I6" s="1">
        <v>1033.0</v>
      </c>
      <c r="J6" s="1">
        <f t="shared" si="4"/>
        <v>3.175</v>
      </c>
      <c r="K6" s="22">
        <v>0.01</v>
      </c>
      <c r="L6" s="3">
        <f t="shared" si="5"/>
        <v>0.3175</v>
      </c>
      <c r="M6" s="3">
        <f t="shared" si="6"/>
        <v>0.004175</v>
      </c>
      <c r="N6" s="3"/>
      <c r="O6" s="3">
        <f t="shared" si="7"/>
        <v>59.09027778</v>
      </c>
      <c r="P6" s="3">
        <f t="shared" si="8"/>
        <v>1.137491182</v>
      </c>
      <c r="Q6" s="3">
        <f t="shared" si="9"/>
        <v>1.771516032</v>
      </c>
      <c r="R6" s="3">
        <f t="shared" si="10"/>
        <v>0.008360193284</v>
      </c>
      <c r="S6" s="3">
        <f t="shared" ref="S6:T6" si="11">20*Q6</f>
        <v>35.43032063</v>
      </c>
      <c r="T6" s="3">
        <f t="shared" si="11"/>
        <v>0.1672038657</v>
      </c>
      <c r="U6" s="3"/>
      <c r="V6" s="3">
        <f t="shared" si="12"/>
        <v>1015</v>
      </c>
      <c r="W6" s="3">
        <f t="shared" si="13"/>
        <v>35.43032063</v>
      </c>
      <c r="X6" s="3"/>
      <c r="Y6" s="3"/>
      <c r="Z6" s="3"/>
    </row>
    <row r="7">
      <c r="A7" s="1">
        <v>5038.0</v>
      </c>
      <c r="B7" s="1">
        <v>1.0</v>
      </c>
      <c r="C7" s="3"/>
      <c r="D7" s="3">
        <f>182*0.001</f>
        <v>0.182</v>
      </c>
      <c r="E7" s="1">
        <v>0.001</v>
      </c>
      <c r="F7" s="3">
        <f t="shared" si="2"/>
        <v>0.003880597015</v>
      </c>
      <c r="G7" s="3">
        <f t="shared" si="3"/>
        <v>0.00002959615568</v>
      </c>
      <c r="H7" s="1"/>
      <c r="I7" s="1">
        <v>5033.0</v>
      </c>
      <c r="J7" s="1">
        <f t="shared" si="4"/>
        <v>3.27</v>
      </c>
      <c r="K7" s="22">
        <v>0.01</v>
      </c>
      <c r="L7" s="3">
        <f t="shared" si="5"/>
        <v>0.327</v>
      </c>
      <c r="M7" s="3">
        <f t="shared" si="6"/>
        <v>0.00427</v>
      </c>
      <c r="N7" s="3"/>
      <c r="O7" s="3">
        <f t="shared" si="7"/>
        <v>84.26538462</v>
      </c>
      <c r="P7" s="3">
        <f t="shared" si="8"/>
        <v>1.743013102</v>
      </c>
      <c r="Q7" s="3">
        <f t="shared" si="9"/>
        <v>1.925649207</v>
      </c>
      <c r="R7" s="3">
        <f t="shared" si="10"/>
        <v>0.008983296945</v>
      </c>
      <c r="S7" s="3">
        <f t="shared" ref="S7:T7" si="14">20*Q7</f>
        <v>38.51298415</v>
      </c>
      <c r="T7" s="3">
        <f t="shared" si="14"/>
        <v>0.1796659389</v>
      </c>
      <c r="U7" s="3"/>
      <c r="V7" s="3">
        <f t="shared" si="12"/>
        <v>5038</v>
      </c>
      <c r="W7" s="3">
        <f t="shared" si="13"/>
        <v>38.51298415</v>
      </c>
      <c r="X7" s="3"/>
      <c r="Y7" s="3"/>
      <c r="Z7" s="3"/>
    </row>
    <row r="8">
      <c r="A8" s="1">
        <v>10462.0</v>
      </c>
      <c r="B8" s="1">
        <v>1.0</v>
      </c>
      <c r="C8" s="3"/>
      <c r="D8" s="3">
        <f>162*0.001</f>
        <v>0.162</v>
      </c>
      <c r="E8" s="1">
        <v>0.001</v>
      </c>
      <c r="F8" s="3">
        <f t="shared" si="2"/>
        <v>0.003454157783</v>
      </c>
      <c r="G8" s="3">
        <f t="shared" si="3"/>
        <v>0.00002868690359</v>
      </c>
      <c r="H8" s="1"/>
      <c r="I8" s="1">
        <v>10351.0</v>
      </c>
      <c r="J8" s="1">
        <f t="shared" si="4"/>
        <v>3.345</v>
      </c>
      <c r="K8" s="22">
        <v>0.01</v>
      </c>
      <c r="L8" s="3">
        <f t="shared" si="5"/>
        <v>0.3345</v>
      </c>
      <c r="M8" s="3">
        <f t="shared" si="6"/>
        <v>0.004345</v>
      </c>
      <c r="N8" s="3"/>
      <c r="O8" s="3">
        <f t="shared" si="7"/>
        <v>96.83981481</v>
      </c>
      <c r="P8" s="3">
        <f t="shared" si="8"/>
        <v>2.062162437</v>
      </c>
      <c r="Q8" s="3">
        <f t="shared" si="9"/>
        <v>1.98605395</v>
      </c>
      <c r="R8" s="3">
        <f t="shared" si="10"/>
        <v>0.00924811524</v>
      </c>
      <c r="S8" s="3">
        <f t="shared" ref="S8:T8" si="15">20*Q8</f>
        <v>39.72107901</v>
      </c>
      <c r="T8" s="3">
        <f t="shared" si="15"/>
        <v>0.1849623048</v>
      </c>
      <c r="U8" s="3"/>
      <c r="V8" s="3">
        <f t="shared" si="12"/>
        <v>10462</v>
      </c>
      <c r="W8" s="3">
        <f t="shared" si="13"/>
        <v>39.72107901</v>
      </c>
      <c r="X8" s="3"/>
      <c r="Y8" s="3"/>
      <c r="Z8" s="3"/>
    </row>
    <row r="9">
      <c r="A9" s="1">
        <v>25050.0</v>
      </c>
      <c r="B9" s="1">
        <v>1.0</v>
      </c>
      <c r="C9" s="3"/>
      <c r="D9" s="1">
        <f>147*0.001</f>
        <v>0.147</v>
      </c>
      <c r="E9" s="1">
        <v>0.001</v>
      </c>
      <c r="F9" s="3">
        <f t="shared" si="2"/>
        <v>0.003134328358</v>
      </c>
      <c r="G9" s="3">
        <f t="shared" si="3"/>
        <v>0.00002800496452</v>
      </c>
      <c r="H9" s="1"/>
      <c r="I9" s="1">
        <v>25020.0</v>
      </c>
      <c r="J9" s="1">
        <f t="shared" si="4"/>
        <v>3.4</v>
      </c>
      <c r="K9" s="22">
        <v>0.01</v>
      </c>
      <c r="L9" s="3">
        <f t="shared" si="5"/>
        <v>0.34</v>
      </c>
      <c r="M9" s="3">
        <f t="shared" si="6"/>
        <v>0.0044</v>
      </c>
      <c r="N9" s="3"/>
      <c r="O9" s="3">
        <f t="shared" si="7"/>
        <v>108.4761905</v>
      </c>
      <c r="P9" s="3">
        <f t="shared" si="8"/>
        <v>2.373035309</v>
      </c>
      <c r="Q9" s="3">
        <f t="shared" si="9"/>
        <v>2.035334425</v>
      </c>
      <c r="R9" s="3">
        <f t="shared" si="10"/>
        <v>0.009500666789</v>
      </c>
      <c r="S9" s="3">
        <f t="shared" ref="S9:T9" si="16">20*Q9</f>
        <v>40.7066885</v>
      </c>
      <c r="T9" s="3">
        <f t="shared" si="16"/>
        <v>0.1900133358</v>
      </c>
      <c r="U9" s="3"/>
      <c r="V9" s="3">
        <f t="shared" si="12"/>
        <v>25050</v>
      </c>
      <c r="W9" s="3">
        <f t="shared" si="13"/>
        <v>40.7066885</v>
      </c>
      <c r="X9" s="3"/>
      <c r="Y9" s="3"/>
      <c r="Z9" s="3"/>
    </row>
    <row r="10">
      <c r="A10" s="1">
        <v>50030.0</v>
      </c>
      <c r="B10" s="1">
        <v>1.0</v>
      </c>
      <c r="C10" s="3"/>
      <c r="D10" s="3">
        <f>158*0.001</f>
        <v>0.158</v>
      </c>
      <c r="E10" s="1">
        <v>0.001</v>
      </c>
      <c r="F10" s="3">
        <f t="shared" si="2"/>
        <v>0.003368869936</v>
      </c>
      <c r="G10" s="3">
        <f t="shared" si="3"/>
        <v>0.00002850505317</v>
      </c>
      <c r="H10" s="1"/>
      <c r="I10" s="1">
        <v>50030.0</v>
      </c>
      <c r="J10" s="1">
        <f t="shared" si="4"/>
        <v>3.395</v>
      </c>
      <c r="K10" s="22">
        <v>0.01</v>
      </c>
      <c r="L10" s="3">
        <f t="shared" si="5"/>
        <v>0.3395</v>
      </c>
      <c r="M10" s="3">
        <f t="shared" si="6"/>
        <v>0.004395</v>
      </c>
      <c r="N10" s="3"/>
      <c r="O10" s="3">
        <f t="shared" si="7"/>
        <v>100.7756329</v>
      </c>
      <c r="P10" s="3">
        <f t="shared" si="8"/>
        <v>2.157285651</v>
      </c>
      <c r="Q10" s="3">
        <f t="shared" si="9"/>
        <v>2.003355534</v>
      </c>
      <c r="R10" s="3">
        <f t="shared" si="10"/>
        <v>0.009296863013</v>
      </c>
      <c r="S10" s="3">
        <f t="shared" ref="S10:T10" si="17">20*Q10</f>
        <v>40.06711069</v>
      </c>
      <c r="T10" s="3">
        <f t="shared" si="17"/>
        <v>0.1859372603</v>
      </c>
      <c r="U10" s="3"/>
      <c r="V10" s="3">
        <f t="shared" si="12"/>
        <v>50030</v>
      </c>
      <c r="W10" s="3">
        <f t="shared" si="13"/>
        <v>40.06711069</v>
      </c>
      <c r="X10" s="3"/>
      <c r="Y10" s="3"/>
      <c r="Z10" s="3"/>
    </row>
    <row r="11">
      <c r="A11" s="1">
        <v>99890.0</v>
      </c>
      <c r="B11" s="1">
        <v>10.0</v>
      </c>
      <c r="C11" s="3"/>
      <c r="D11" s="1">
        <f>215*0.001</f>
        <v>0.215</v>
      </c>
      <c r="E11" s="1">
        <v>0.001</v>
      </c>
      <c r="F11" s="3">
        <f t="shared" si="2"/>
        <v>0.004584221748</v>
      </c>
      <c r="G11" s="3">
        <f t="shared" si="3"/>
        <v>0.00003109642164</v>
      </c>
      <c r="H11" s="1"/>
      <c r="I11" s="1">
        <v>99600.0</v>
      </c>
      <c r="J11" s="1">
        <f t="shared" si="4"/>
        <v>3.395</v>
      </c>
      <c r="K11" s="22">
        <v>0.01</v>
      </c>
      <c r="L11" s="3">
        <f t="shared" si="5"/>
        <v>0.3395</v>
      </c>
      <c r="M11" s="3">
        <f t="shared" si="6"/>
        <v>0.004395</v>
      </c>
      <c r="N11" s="3"/>
      <c r="O11" s="3">
        <f t="shared" si="7"/>
        <v>74.05837209</v>
      </c>
      <c r="P11" s="3">
        <f t="shared" si="8"/>
        <v>1.461087777</v>
      </c>
      <c r="Q11" s="3">
        <f t="shared" si="9"/>
        <v>1.869574161</v>
      </c>
      <c r="R11" s="3">
        <f t="shared" si="10"/>
        <v>0.008568138095</v>
      </c>
      <c r="S11" s="3">
        <f t="shared" ref="S11:T11" si="18">20*Q11</f>
        <v>37.39148323</v>
      </c>
      <c r="T11" s="3">
        <f t="shared" si="18"/>
        <v>0.1713627619</v>
      </c>
      <c r="U11" s="3"/>
      <c r="V11" s="3">
        <f t="shared" si="12"/>
        <v>99890</v>
      </c>
      <c r="W11" s="3">
        <f t="shared" si="13"/>
        <v>37.39148323</v>
      </c>
      <c r="X11" s="3"/>
      <c r="Y11" s="3"/>
      <c r="Z11" s="3"/>
    </row>
    <row r="12">
      <c r="A12" s="1">
        <v>198500.0</v>
      </c>
      <c r="B12" s="1">
        <v>10.0</v>
      </c>
      <c r="C12" s="3"/>
      <c r="D12" s="3">
        <f>365*0.001</f>
        <v>0.365</v>
      </c>
      <c r="E12" s="1">
        <v>0.001</v>
      </c>
      <c r="F12" s="3">
        <f t="shared" si="2"/>
        <v>0.007782515991</v>
      </c>
      <c r="G12" s="3">
        <f t="shared" si="3"/>
        <v>0.00003791581235</v>
      </c>
      <c r="H12" s="1"/>
      <c r="I12" s="1">
        <v>198750.0</v>
      </c>
      <c r="J12" s="1">
        <f t="shared" si="4"/>
        <v>3.405</v>
      </c>
      <c r="K12" s="22">
        <v>0.01</v>
      </c>
      <c r="L12" s="3">
        <f t="shared" si="5"/>
        <v>0.3405</v>
      </c>
      <c r="M12" s="3">
        <f t="shared" si="6"/>
        <v>0.004405</v>
      </c>
      <c r="N12" s="3"/>
      <c r="O12" s="3">
        <f t="shared" si="7"/>
        <v>43.75191781</v>
      </c>
      <c r="P12" s="3">
        <f t="shared" si="8"/>
        <v>0.779168268</v>
      </c>
      <c r="Q12" s="3">
        <f t="shared" si="9"/>
        <v>1.640997095</v>
      </c>
      <c r="R12" s="3">
        <f t="shared" si="10"/>
        <v>0.007734254776</v>
      </c>
      <c r="S12" s="3">
        <f t="shared" ref="S12:T12" si="19">20*Q12</f>
        <v>32.81994189</v>
      </c>
      <c r="T12" s="3">
        <f t="shared" si="19"/>
        <v>0.1546850955</v>
      </c>
      <c r="U12" s="3"/>
      <c r="V12" s="3">
        <f t="shared" si="12"/>
        <v>198500</v>
      </c>
      <c r="W12" s="3">
        <f t="shared" si="13"/>
        <v>32.81994189</v>
      </c>
      <c r="X12" s="3"/>
      <c r="Y12" s="3"/>
      <c r="Z12" s="3"/>
    </row>
    <row r="13">
      <c r="A13" s="1">
        <v>300650.0</v>
      </c>
      <c r="B13" s="1">
        <v>10.0</v>
      </c>
      <c r="C13" s="3"/>
      <c r="D13" s="3">
        <f>474*0.001</f>
        <v>0.474</v>
      </c>
      <c r="E13" s="1">
        <v>0.001</v>
      </c>
      <c r="F13" s="3">
        <f t="shared" si="2"/>
        <v>0.01010660981</v>
      </c>
      <c r="G13" s="3">
        <f t="shared" si="3"/>
        <v>0.00004287123626</v>
      </c>
      <c r="H13" s="1"/>
      <c r="I13" s="1">
        <v>300400.0</v>
      </c>
      <c r="J13" s="1">
        <f t="shared" si="4"/>
        <v>3.395</v>
      </c>
      <c r="K13" s="22">
        <v>0.01</v>
      </c>
      <c r="L13" s="3">
        <f t="shared" si="5"/>
        <v>0.3395</v>
      </c>
      <c r="M13" s="3">
        <f t="shared" si="6"/>
        <v>0.004395</v>
      </c>
      <c r="N13" s="3"/>
      <c r="O13" s="3">
        <f t="shared" si="7"/>
        <v>33.59187764</v>
      </c>
      <c r="P13" s="3">
        <f t="shared" si="8"/>
        <v>0.5773573368</v>
      </c>
      <c r="Q13" s="3">
        <f t="shared" si="9"/>
        <v>1.52623428</v>
      </c>
      <c r="R13" s="3">
        <f t="shared" si="10"/>
        <v>0.007464396845</v>
      </c>
      <c r="S13" s="3">
        <f t="shared" ref="S13:T13" si="20">20*Q13</f>
        <v>30.52468559</v>
      </c>
      <c r="T13" s="3">
        <f t="shared" si="20"/>
        <v>0.1492879369</v>
      </c>
      <c r="U13" s="3"/>
      <c r="V13" s="3">
        <f t="shared" si="12"/>
        <v>300650</v>
      </c>
      <c r="W13" s="3">
        <f t="shared" si="13"/>
        <v>30.52468559</v>
      </c>
      <c r="X13" s="3"/>
      <c r="Y13" s="3"/>
      <c r="Z13" s="3"/>
    </row>
    <row r="14">
      <c r="A14" s="3"/>
      <c r="B14" s="3"/>
      <c r="C14" s="3"/>
      <c r="D14" s="1" t="s">
        <v>79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23" t="s">
        <v>80</v>
      </c>
      <c r="E15" s="3"/>
      <c r="F15" s="3"/>
      <c r="G15" s="3"/>
      <c r="H15" s="3"/>
      <c r="I15" s="17"/>
      <c r="J15" s="18" t="s">
        <v>81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1"/>
      <c r="J16" s="1">
        <v>5.93</v>
      </c>
      <c r="K16" s="3"/>
      <c r="L16" s="3"/>
      <c r="M16" s="2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1"/>
      <c r="J17" s="1">
        <v>6.35</v>
      </c>
      <c r="K17" s="3"/>
      <c r="L17" s="3"/>
      <c r="M17" s="2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22</v>
      </c>
      <c r="B18" s="1"/>
      <c r="C18" s="3"/>
      <c r="D18" s="3"/>
      <c r="E18" s="3"/>
      <c r="F18" s="3"/>
      <c r="G18" s="3"/>
      <c r="H18" s="3"/>
      <c r="I18" s="1"/>
      <c r="J18" s="1">
        <v>6.54</v>
      </c>
      <c r="K18" s="3"/>
      <c r="L18" s="3"/>
      <c r="M18" s="2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8" t="s">
        <v>15</v>
      </c>
      <c r="B19" s="1" t="s">
        <v>82</v>
      </c>
      <c r="C19" s="3"/>
      <c r="D19" s="3"/>
      <c r="E19" s="3"/>
      <c r="F19" s="18" t="s">
        <v>24</v>
      </c>
      <c r="G19" s="3"/>
      <c r="H19" s="15"/>
      <c r="I19" s="1"/>
      <c r="J19" s="1">
        <v>6.69</v>
      </c>
      <c r="K19" s="3"/>
      <c r="L19" s="18" t="s">
        <v>26</v>
      </c>
      <c r="M19" s="3"/>
      <c r="N19" s="15"/>
      <c r="O19" s="21" t="s">
        <v>59</v>
      </c>
      <c r="P19" s="3"/>
      <c r="Q19" s="21" t="s">
        <v>76</v>
      </c>
      <c r="R19" s="3"/>
      <c r="S19" s="21" t="s">
        <v>77</v>
      </c>
      <c r="T19" s="3"/>
      <c r="U19" s="3"/>
      <c r="V19" s="1" t="s">
        <v>78</v>
      </c>
      <c r="W19" s="3"/>
      <c r="X19" s="3"/>
      <c r="Y19" s="3"/>
      <c r="Z19" s="3"/>
    </row>
    <row r="20">
      <c r="A20" s="1">
        <v>301.0</v>
      </c>
      <c r="B20" s="1">
        <v>4.5</v>
      </c>
      <c r="C20" s="3"/>
      <c r="D20" s="3"/>
      <c r="E20" s="1"/>
      <c r="F20" s="1">
        <v>0.00686539</v>
      </c>
      <c r="G20" s="25"/>
      <c r="H20" s="1"/>
      <c r="I20" s="1"/>
      <c r="J20" s="1">
        <v>6.8</v>
      </c>
      <c r="K20" s="22"/>
      <c r="L20" s="1">
        <v>0.373507</v>
      </c>
      <c r="M20" s="3"/>
      <c r="N20" s="3"/>
      <c r="O20" s="3">
        <f t="shared" ref="O20:O28" si="21">L20/F20</f>
        <v>54.40433828</v>
      </c>
      <c r="P20" s="3"/>
      <c r="Q20" s="3">
        <f t="shared" ref="Q20:Q28" si="22">LOG(O20)</f>
        <v>1.735633532</v>
      </c>
      <c r="R20" s="3"/>
      <c r="S20" s="3">
        <f t="shared" ref="S20:S28" si="23">20*Q20</f>
        <v>34.71267065</v>
      </c>
      <c r="T20" s="3"/>
      <c r="U20" s="3"/>
      <c r="V20" s="3">
        <f t="shared" ref="V20:V28" si="24">A20</f>
        <v>301</v>
      </c>
      <c r="W20" s="3">
        <f t="shared" ref="W20:W28" si="25">S20</f>
        <v>34.71267065</v>
      </c>
      <c r="X20" s="3"/>
      <c r="Y20" s="3"/>
      <c r="Z20" s="3"/>
    </row>
    <row r="21">
      <c r="A21" s="1">
        <v>1015.0</v>
      </c>
      <c r="B21" s="1"/>
      <c r="C21" s="3"/>
      <c r="D21" s="3"/>
      <c r="E21" s="1"/>
      <c r="F21" s="1">
        <v>0.0068797</v>
      </c>
      <c r="G21" s="25"/>
      <c r="H21" s="1"/>
      <c r="I21" s="1"/>
      <c r="J21" s="1">
        <v>6.79</v>
      </c>
      <c r="K21" s="22"/>
      <c r="L21" s="1">
        <v>0.373377</v>
      </c>
      <c r="M21" s="3"/>
      <c r="N21" s="3"/>
      <c r="O21" s="3">
        <f t="shared" si="21"/>
        <v>54.27227931</v>
      </c>
      <c r="P21" s="3"/>
      <c r="Q21" s="3">
        <f t="shared" si="22"/>
        <v>1.734578061</v>
      </c>
      <c r="R21" s="3"/>
      <c r="S21" s="3">
        <f t="shared" si="23"/>
        <v>34.69156123</v>
      </c>
      <c r="T21" s="3"/>
      <c r="U21" s="3"/>
      <c r="V21" s="3">
        <f t="shared" si="24"/>
        <v>1015</v>
      </c>
      <c r="W21" s="3">
        <f t="shared" si="25"/>
        <v>34.69156123</v>
      </c>
      <c r="X21" s="3"/>
      <c r="Y21" s="3"/>
      <c r="Z21" s="3"/>
    </row>
    <row r="22">
      <c r="A22" s="1">
        <v>5038.0</v>
      </c>
      <c r="B22" s="1"/>
      <c r="C22" s="3"/>
      <c r="D22" s="3"/>
      <c r="E22" s="1"/>
      <c r="F22" s="1">
        <v>0.00727746</v>
      </c>
      <c r="G22" s="25"/>
      <c r="H22" s="1"/>
      <c r="I22" s="1"/>
      <c r="J22" s="1">
        <v>6.79</v>
      </c>
      <c r="K22" s="22"/>
      <c r="L22" s="1">
        <v>0.373292</v>
      </c>
      <c r="M22" s="3"/>
      <c r="N22" s="3"/>
      <c r="O22" s="3">
        <f t="shared" si="21"/>
        <v>51.29427025</v>
      </c>
      <c r="P22" s="3"/>
      <c r="Q22" s="3">
        <f t="shared" si="22"/>
        <v>1.710068856</v>
      </c>
      <c r="R22" s="3"/>
      <c r="S22" s="3">
        <f t="shared" si="23"/>
        <v>34.20137711</v>
      </c>
      <c r="T22" s="3"/>
      <c r="U22" s="3"/>
      <c r="V22" s="3">
        <f t="shared" si="24"/>
        <v>5038</v>
      </c>
      <c r="W22" s="3">
        <f t="shared" si="25"/>
        <v>34.20137711</v>
      </c>
      <c r="X22" s="3"/>
      <c r="Y22" s="3"/>
      <c r="Z22" s="3"/>
    </row>
    <row r="23">
      <c r="A23" s="1">
        <v>10462.0</v>
      </c>
      <c r="B23" s="1"/>
      <c r="C23" s="3"/>
      <c r="D23" s="3"/>
      <c r="E23" s="1"/>
      <c r="F23" s="1">
        <v>0.00865485</v>
      </c>
      <c r="G23" s="25"/>
      <c r="H23" s="1"/>
      <c r="I23" s="1"/>
      <c r="J23" s="1">
        <v>6.81</v>
      </c>
      <c r="K23" s="22"/>
      <c r="L23" s="1">
        <v>0.372633</v>
      </c>
      <c r="M23" s="3"/>
      <c r="N23" s="3"/>
      <c r="O23" s="3">
        <f t="shared" si="21"/>
        <v>43.05481897</v>
      </c>
      <c r="P23" s="3"/>
      <c r="Q23" s="3">
        <f t="shared" si="22"/>
        <v>1.634021768</v>
      </c>
      <c r="R23" s="3"/>
      <c r="S23" s="3">
        <f t="shared" si="23"/>
        <v>32.68043535</v>
      </c>
      <c r="T23" s="3"/>
      <c r="U23" s="3"/>
      <c r="V23" s="3">
        <f t="shared" si="24"/>
        <v>10462</v>
      </c>
      <c r="W23" s="3">
        <f t="shared" si="25"/>
        <v>32.68043535</v>
      </c>
      <c r="X23" s="3"/>
      <c r="Y23" s="3"/>
      <c r="Z23" s="3"/>
    </row>
    <row r="24">
      <c r="A24" s="1">
        <v>25050.0</v>
      </c>
      <c r="B24" s="1"/>
      <c r="C24" s="3"/>
      <c r="D24" s="3"/>
      <c r="E24" s="1"/>
      <c r="F24" s="1">
        <v>0.0154135</v>
      </c>
      <c r="G24" s="25"/>
      <c r="H24" s="1"/>
      <c r="I24" s="1"/>
      <c r="J24" s="1">
        <v>6.79</v>
      </c>
      <c r="K24" s="22"/>
      <c r="L24" s="1">
        <v>0.368615</v>
      </c>
      <c r="M24" s="3"/>
      <c r="N24" s="3"/>
      <c r="O24" s="3">
        <f t="shared" si="21"/>
        <v>23.91507445</v>
      </c>
      <c r="P24" s="3"/>
      <c r="Q24" s="3">
        <f t="shared" si="22"/>
        <v>1.378671737</v>
      </c>
      <c r="R24" s="3"/>
      <c r="S24" s="3">
        <f t="shared" si="23"/>
        <v>27.57343474</v>
      </c>
      <c r="T24" s="3"/>
      <c r="U24" s="3"/>
      <c r="V24" s="3">
        <f t="shared" si="24"/>
        <v>25050</v>
      </c>
      <c r="W24" s="3">
        <f t="shared" si="25"/>
        <v>27.57343474</v>
      </c>
      <c r="X24" s="3"/>
      <c r="Y24" s="3"/>
      <c r="Z24" s="3"/>
    </row>
    <row r="25">
      <c r="A25" s="1">
        <v>50030.0</v>
      </c>
      <c r="B25" s="1"/>
      <c r="C25" s="3"/>
      <c r="D25" s="3"/>
      <c r="E25" s="1"/>
      <c r="F25" s="1">
        <v>0.0258802</v>
      </c>
      <c r="G25" s="25"/>
      <c r="H25" s="1"/>
      <c r="I25" s="1"/>
      <c r="J25" s="1"/>
      <c r="K25" s="22"/>
      <c r="L25" s="1">
        <v>0.354684</v>
      </c>
      <c r="M25" s="1"/>
      <c r="N25" s="3"/>
      <c r="O25" s="3">
        <f t="shared" si="21"/>
        <v>13.70483999</v>
      </c>
      <c r="P25" s="3"/>
      <c r="Q25" s="3">
        <f t="shared" si="22"/>
        <v>1.136873969</v>
      </c>
      <c r="R25" s="3"/>
      <c r="S25" s="3">
        <f t="shared" si="23"/>
        <v>22.73747939</v>
      </c>
      <c r="T25" s="3"/>
      <c r="U25" s="3"/>
      <c r="V25" s="3">
        <f t="shared" si="24"/>
        <v>50030</v>
      </c>
      <c r="W25" s="3">
        <f t="shared" si="25"/>
        <v>22.73747939</v>
      </c>
      <c r="X25" s="3"/>
      <c r="Y25" s="3"/>
      <c r="Z25" s="3"/>
    </row>
    <row r="26">
      <c r="A26" s="1">
        <v>99890.0</v>
      </c>
      <c r="B26" s="1"/>
      <c r="C26" s="3"/>
      <c r="D26" s="3"/>
      <c r="E26" s="1"/>
      <c r="F26" s="1">
        <v>0.0405082</v>
      </c>
      <c r="G26" s="25"/>
      <c r="H26" s="1"/>
      <c r="I26" s="1"/>
      <c r="J26" s="1"/>
      <c r="K26" s="22"/>
      <c r="L26" s="1">
        <v>0.315141</v>
      </c>
      <c r="M26" s="3"/>
      <c r="N26" s="3"/>
      <c r="O26" s="3">
        <f t="shared" si="21"/>
        <v>7.779684113</v>
      </c>
      <c r="P26" s="3"/>
      <c r="Q26" s="3">
        <f t="shared" si="22"/>
        <v>0.8909619632</v>
      </c>
      <c r="R26" s="3"/>
      <c r="S26" s="3">
        <f t="shared" si="23"/>
        <v>17.81923926</v>
      </c>
      <c r="T26" s="3"/>
      <c r="U26" s="3"/>
      <c r="V26" s="3">
        <f t="shared" si="24"/>
        <v>99890</v>
      </c>
      <c r="W26" s="3">
        <f t="shared" si="25"/>
        <v>17.81923926</v>
      </c>
      <c r="X26" s="3"/>
      <c r="Y26" s="3"/>
      <c r="Z26" s="3"/>
    </row>
    <row r="27">
      <c r="A27" s="1">
        <v>198500.0</v>
      </c>
      <c r="B27" s="1"/>
      <c r="C27" s="3"/>
      <c r="D27" s="3"/>
      <c r="E27" s="1"/>
      <c r="F27" s="1">
        <v>0.0575017</v>
      </c>
      <c r="G27" s="25"/>
      <c r="H27" s="1"/>
      <c r="I27" s="1"/>
      <c r="J27" s="1"/>
      <c r="K27" s="22"/>
      <c r="L27" s="1">
        <v>0.244915</v>
      </c>
      <c r="M27" s="3"/>
      <c r="N27" s="3"/>
      <c r="O27" s="3">
        <f t="shared" si="21"/>
        <v>4.259265378</v>
      </c>
      <c r="P27" s="3"/>
      <c r="Q27" s="3">
        <f t="shared" si="22"/>
        <v>0.6293347001</v>
      </c>
      <c r="R27" s="3"/>
      <c r="S27" s="3">
        <f t="shared" si="23"/>
        <v>12.586694</v>
      </c>
      <c r="T27" s="3"/>
      <c r="U27" s="3"/>
      <c r="V27" s="3">
        <f t="shared" si="24"/>
        <v>198500</v>
      </c>
      <c r="W27" s="3">
        <f t="shared" si="25"/>
        <v>12.586694</v>
      </c>
      <c r="X27" s="3"/>
      <c r="Y27" s="3"/>
      <c r="Z27" s="3"/>
    </row>
    <row r="28">
      <c r="A28" s="1">
        <v>300650.0</v>
      </c>
      <c r="B28" s="1"/>
      <c r="C28" s="3"/>
      <c r="D28" s="3"/>
      <c r="E28" s="1"/>
      <c r="F28" s="1">
        <v>0.0675032</v>
      </c>
      <c r="G28" s="25"/>
      <c r="H28" s="1"/>
      <c r="I28" s="1"/>
      <c r="J28" s="1"/>
      <c r="K28" s="22"/>
      <c r="L28" s="1">
        <v>0.194787</v>
      </c>
      <c r="M28" s="3"/>
      <c r="N28" s="3"/>
      <c r="O28" s="3">
        <f t="shared" si="21"/>
        <v>2.885596535</v>
      </c>
      <c r="P28" s="3"/>
      <c r="Q28" s="3">
        <f t="shared" si="22"/>
        <v>0.4602356078</v>
      </c>
      <c r="R28" s="3"/>
      <c r="S28" s="3">
        <f t="shared" si="23"/>
        <v>9.204712155</v>
      </c>
      <c r="T28" s="3"/>
      <c r="U28" s="3"/>
      <c r="V28" s="3">
        <f t="shared" si="24"/>
        <v>300650</v>
      </c>
      <c r="W28" s="3">
        <f t="shared" si="25"/>
        <v>9.204712155</v>
      </c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