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it1" sheetId="1" r:id="rId4"/>
  </sheets>
  <definedNames/>
  <calcPr/>
</workbook>
</file>

<file path=xl/sharedStrings.xml><?xml version="1.0" encoding="utf-8"?>
<sst xmlns="http://schemas.openxmlformats.org/spreadsheetml/2006/main" count="177" uniqueCount="82">
  <si>
    <t>16mH-&gt;o que dizia no transformador</t>
  </si>
  <si>
    <t>Pus 14.2mH, mas tinha tres casas decimais, sempre a variar, daí o erro</t>
  </si>
  <si>
    <t>Modelo RL da inductance:</t>
  </si>
  <si>
    <t>R</t>
  </si>
  <si>
    <t>Erro</t>
  </si>
  <si>
    <t>Díodo D1 porque tensão VCE no transistor pode ficar negativa; não fica o ideal boost model, tho</t>
  </si>
  <si>
    <t>L1</t>
  </si>
  <si>
    <t>Rc</t>
  </si>
  <si>
    <t>C</t>
  </si>
  <si>
    <t>VI</t>
  </si>
  <si>
    <t>R1</t>
  </si>
  <si>
    <t>Nao medimos C</t>
  </si>
  <si>
    <t>Escolher frequência de comutação</t>
  </si>
  <si>
    <t>Dmax</t>
  </si>
  <si>
    <t>f_s_min (Hz)</t>
  </si>
  <si>
    <t>-&gt;tendo em conta L/R</t>
  </si>
  <si>
    <t>Amplitude na entrada -&gt; nao foi preciso 7V, só o suficiente para ver onda quadrada normal no VCE</t>
  </si>
  <si>
    <t>1/RC (Hz)</t>
  </si>
  <si>
    <t>-&gt;tendo em conta RC</t>
  </si>
  <si>
    <t>Frequência selecionada</t>
  </si>
  <si>
    <t>-&gt; nem sempre se conseguiu selecionar ao certo 1kHz, daí o erro</t>
  </si>
  <si>
    <t>Vd</t>
  </si>
  <si>
    <t>Variar duty cycle para ter certos valores em VO</t>
  </si>
  <si>
    <t>Escolhido</t>
  </si>
  <si>
    <t>VO wanted</t>
  </si>
  <si>
    <t>D</t>
  </si>
  <si>
    <t>-&gt; no Lab, não ver necessariamente para estes duty-cycle, é só para saber mais ou menos onde ver, porque o que o prof pede é comparar VO/VI com teorico</t>
  </si>
  <si>
    <t>(1-D)T</t>
  </si>
  <si>
    <t>DT</t>
  </si>
  <si>
    <t>T</t>
  </si>
  <si>
    <t>D exp</t>
  </si>
  <si>
    <t>VO</t>
  </si>
  <si>
    <t>Ganho</t>
  </si>
  <si>
    <t>Ganho esperado</t>
  </si>
  <si>
    <t>Variacao</t>
  </si>
  <si>
    <t>Vo diodo</t>
  </si>
  <si>
    <t>Fitteia</t>
  </si>
  <si>
    <t>Rendimento</t>
  </si>
  <si>
    <t>VS</t>
  </si>
  <si>
    <t>VD</t>
  </si>
  <si>
    <t>Rendimento teorico</t>
  </si>
  <si>
    <t>-&gt;só considerado erro de V_I, se houver erro em VS e VD acrescentar</t>
  </si>
  <si>
    <t>Medições</t>
  </si>
  <si>
    <t>D actual</t>
  </si>
  <si>
    <t>Ii</t>
  </si>
  <si>
    <t>Vo</t>
  </si>
  <si>
    <t>Io</t>
  </si>
  <si>
    <t>Pi</t>
  </si>
  <si>
    <t>Po</t>
  </si>
  <si>
    <t xml:space="preserve">Output impedance </t>
  </si>
  <si>
    <t>VO1</t>
  </si>
  <si>
    <t>Radicionado em serie</t>
  </si>
  <si>
    <t>R2</t>
  </si>
  <si>
    <t>VO2</t>
  </si>
  <si>
    <t>ZO</t>
  </si>
  <si>
    <t>Ripple</t>
  </si>
  <si>
    <t>VO teorico</t>
  </si>
  <si>
    <t>VO teorico lab, maybe better</t>
  </si>
  <si>
    <t>Medido com  osciloscopio</t>
  </si>
  <si>
    <t>f_S</t>
  </si>
  <si>
    <t>Delta_vO teorico</t>
  </si>
  <si>
    <t>Delta_vO/VO teorico</t>
  </si>
  <si>
    <t>Delta_vO</t>
  </si>
  <si>
    <t>Delta_vO/Vo</t>
  </si>
  <si>
    <t>Rmax</t>
  </si>
  <si>
    <t>meti aqui para a formula</t>
  </si>
  <si>
    <t>R_max</t>
  </si>
  <si>
    <t>R=1..5Rmax</t>
  </si>
  <si>
    <t>R actual</t>
  </si>
  <si>
    <t>D_O</t>
  </si>
  <si>
    <t>V_o</t>
  </si>
  <si>
    <t>V_o teorico</t>
  </si>
  <si>
    <t>D0T</t>
  </si>
  <si>
    <t>Resto T</t>
  </si>
  <si>
    <t>Vi</t>
  </si>
  <si>
    <t>VCE</t>
  </si>
  <si>
    <t>D0 teorico</t>
  </si>
  <si>
    <t>Vo teorico</t>
  </si>
  <si>
    <t>D0</t>
  </si>
  <si>
    <t>f</t>
  </si>
  <si>
    <t>Esta última secção foi feita de maneira diferente. Como não foi possível alcançar Rmax no Lab, variou-se f de modo a ter o comportamento estranho no VCE (estamos com descontinuo), e fizeram-se as medicoes</t>
  </si>
  <si>
    <t>Erro D0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</si>
</sst>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Google Sans Mono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left" readingOrder="0"/>
    </xf>
    <xf borderId="0" fillId="4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5" fontId="1" numFmtId="0" xfId="0" applyAlignment="1" applyFill="1" applyFont="1">
      <alignment horizontal="center" readingOrder="0"/>
    </xf>
    <xf borderId="0" fillId="0" fontId="1" numFmtId="10" xfId="0" applyAlignment="1" applyFont="1" applyNumberFormat="1">
      <alignment horizontal="center"/>
    </xf>
    <xf borderId="0" fillId="6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4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7" fontId="1" numFmtId="0" xfId="0" applyAlignment="1" applyFill="1" applyFont="1">
      <alignment horizontal="center" readingOrder="0"/>
    </xf>
    <xf borderId="0" fillId="0" fontId="1" numFmtId="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5" max="11" width="20.88"/>
    <col customWidth="1" min="12" max="12" width="18.13"/>
  </cols>
  <sheetData>
    <row r="1">
      <c r="A1" s="1" t="s">
        <v>0</v>
      </c>
      <c r="B1" s="1" t="s">
        <v>1</v>
      </c>
      <c r="C1" s="2"/>
      <c r="D1" s="1"/>
      <c r="E1" s="3" t="s">
        <v>2</v>
      </c>
      <c r="F1" s="4" t="s">
        <v>3</v>
      </c>
      <c r="G1" s="1">
        <v>223.7</v>
      </c>
      <c r="H1" s="5" t="s">
        <v>4</v>
      </c>
      <c r="I1" s="1">
        <v>0.1</v>
      </c>
      <c r="J1" s="1"/>
      <c r="K1" s="1"/>
      <c r="L1" s="1"/>
      <c r="M1" s="1"/>
      <c r="N1" s="1"/>
      <c r="O1" s="2"/>
      <c r="P1" s="2"/>
      <c r="Q1" s="2"/>
      <c r="R1" s="2"/>
      <c r="S1" s="2"/>
      <c r="T1" s="1" t="s">
        <v>5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4" t="s">
        <v>6</v>
      </c>
      <c r="B2" s="5" t="s">
        <v>4</v>
      </c>
      <c r="C2" s="4" t="s">
        <v>7</v>
      </c>
      <c r="D2" s="5" t="s">
        <v>4</v>
      </c>
      <c r="E2" s="1"/>
      <c r="F2" s="1"/>
      <c r="G2" s="1"/>
      <c r="H2" s="1"/>
      <c r="I2" s="1"/>
      <c r="J2" s="1"/>
      <c r="K2" s="4" t="s">
        <v>8</v>
      </c>
      <c r="L2" s="5" t="s">
        <v>4</v>
      </c>
      <c r="M2" s="2"/>
      <c r="N2" s="4" t="s">
        <v>9</v>
      </c>
      <c r="O2" s="5" t="s">
        <v>4</v>
      </c>
      <c r="P2" s="2"/>
      <c r="Q2" s="4" t="s">
        <v>10</v>
      </c>
      <c r="R2" s="5" t="s">
        <v>4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1">
        <f>14.2*0.001</f>
        <v>0.0142</v>
      </c>
      <c r="B3" s="2">
        <f>0.1*0.001</f>
        <v>0.0001</v>
      </c>
      <c r="C3" s="1">
        <v>46.9</v>
      </c>
      <c r="D3" s="1">
        <v>0.1</v>
      </c>
      <c r="E3" s="2"/>
      <c r="F3" s="2"/>
      <c r="G3" s="2"/>
      <c r="H3" s="2"/>
      <c r="I3" s="2"/>
      <c r="J3" s="2"/>
      <c r="K3" s="2">
        <f>0.0022</f>
        <v>0.0022</v>
      </c>
      <c r="L3" s="1">
        <v>0.0</v>
      </c>
      <c r="M3" s="2"/>
      <c r="N3" s="1">
        <v>8.0</v>
      </c>
      <c r="O3" s="1">
        <v>0.1</v>
      </c>
      <c r="P3" s="2"/>
      <c r="Q3" s="1">
        <v>29.4</v>
      </c>
      <c r="R3" s="1">
        <v>0.1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2"/>
      <c r="B4" s="2"/>
      <c r="C4" s="2"/>
      <c r="D4" s="2"/>
      <c r="E4" s="1"/>
      <c r="F4" s="1"/>
      <c r="G4" s="1"/>
      <c r="H4" s="1"/>
      <c r="I4" s="1"/>
      <c r="J4" s="1"/>
      <c r="K4" s="1" t="s">
        <v>11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6" t="s">
        <v>12</v>
      </c>
      <c r="B5" s="7"/>
      <c r="C5" s="7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4" t="s">
        <v>13</v>
      </c>
      <c r="B6" s="4" t="s">
        <v>14</v>
      </c>
      <c r="C6" s="5" t="s">
        <v>4</v>
      </c>
      <c r="D6" s="8" t="s">
        <v>15</v>
      </c>
      <c r="E6" s="2"/>
      <c r="F6" s="2"/>
      <c r="G6" s="2"/>
      <c r="H6" s="2"/>
      <c r="I6" s="2"/>
      <c r="J6" s="2"/>
      <c r="K6" s="2"/>
      <c r="L6" s="2"/>
      <c r="M6" s="4" t="s">
        <v>16</v>
      </c>
      <c r="N6" s="5" t="s">
        <v>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">
        <f>1/3</f>
        <v>0.3333333333</v>
      </c>
      <c r="B7" s="2">
        <f>(C3/(2*A3))*A7*(1-A7)^2</f>
        <v>244.6531038</v>
      </c>
      <c r="C7" s="2">
        <f>(A7*(1-A7)^2*D3)/(2*A3)+(C3*A7*(1-A7)^2*B3)/(2*A3^2)</f>
        <v>2.244557591</v>
      </c>
      <c r="D7" s="2"/>
      <c r="E7" s="2"/>
      <c r="F7" s="2"/>
      <c r="G7" s="2"/>
      <c r="H7" s="2"/>
      <c r="I7" s="2"/>
      <c r="J7" s="2"/>
      <c r="K7" s="2"/>
      <c r="L7" s="2"/>
      <c r="M7" s="1">
        <v>4.48</v>
      </c>
      <c r="N7" s="1">
        <v>0.1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"/>
      <c r="B8" s="4" t="s">
        <v>17</v>
      </c>
      <c r="C8" s="9" t="s">
        <v>4</v>
      </c>
      <c r="D8" s="8" t="s">
        <v>18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2"/>
      <c r="B9" s="1">
        <f>1/(C3*K3)</f>
        <v>9.691800737</v>
      </c>
      <c r="C9" s="2">
        <f>(D3/(C3^2*K3))+(L3/(C3*K3^2))</f>
        <v>0.02066482033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2"/>
      <c r="B10" s="2"/>
      <c r="C10" s="2"/>
      <c r="D10" s="2"/>
      <c r="E10" s="10"/>
      <c r="F10" s="10"/>
      <c r="G10" s="10"/>
      <c r="H10" s="10"/>
      <c r="I10" s="10"/>
      <c r="J10" s="10"/>
      <c r="K10" s="10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11" t="s">
        <v>19</v>
      </c>
      <c r="B11" s="9" t="s">
        <v>4</v>
      </c>
      <c r="C11" s="8" t="s">
        <v>20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1"/>
      <c r="O11" s="2"/>
      <c r="P11" s="2"/>
      <c r="Q11" s="2"/>
      <c r="R11" s="2"/>
      <c r="S11" s="2"/>
      <c r="T11" s="12" t="s">
        <v>21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1">
        <v>1005.0</v>
      </c>
      <c r="B12" s="13">
        <v>5.0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4" t="s">
        <v>9</v>
      </c>
      <c r="O12" s="5" t="s">
        <v>4</v>
      </c>
      <c r="P12" s="2"/>
      <c r="Q12" s="2"/>
      <c r="R12" s="2"/>
      <c r="S12" s="2"/>
      <c r="T12" s="1">
        <v>0.7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>
        <v>7.7</v>
      </c>
      <c r="O13" s="1">
        <v>0.1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6" t="s">
        <v>22</v>
      </c>
      <c r="B14" s="7"/>
      <c r="C14" s="7"/>
      <c r="D14" s="7"/>
      <c r="E14" s="2"/>
      <c r="F14" s="1" t="s">
        <v>23</v>
      </c>
      <c r="G14" s="2"/>
      <c r="H14" s="1" t="s">
        <v>23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4" t="s">
        <v>24</v>
      </c>
      <c r="B15" s="4" t="s">
        <v>25</v>
      </c>
      <c r="C15" s="1" t="s">
        <v>26</v>
      </c>
      <c r="D15" s="2"/>
      <c r="E15" s="4" t="s">
        <v>27</v>
      </c>
      <c r="F15" s="9" t="s">
        <v>4</v>
      </c>
      <c r="G15" s="4" t="s">
        <v>28</v>
      </c>
      <c r="H15" s="9" t="s">
        <v>4</v>
      </c>
      <c r="I15" s="4" t="s">
        <v>29</v>
      </c>
      <c r="J15" s="9" t="s">
        <v>4</v>
      </c>
      <c r="K15" s="4" t="s">
        <v>30</v>
      </c>
      <c r="L15" s="9" t="s">
        <v>4</v>
      </c>
      <c r="M15" s="4" t="s">
        <v>31</v>
      </c>
      <c r="N15" s="9" t="s">
        <v>4</v>
      </c>
      <c r="O15" s="11" t="s">
        <v>32</v>
      </c>
      <c r="P15" s="9" t="s">
        <v>4</v>
      </c>
      <c r="Q15" s="4" t="s">
        <v>33</v>
      </c>
      <c r="R15" s="9" t="s">
        <v>4</v>
      </c>
      <c r="S15" s="11" t="s">
        <v>34</v>
      </c>
      <c r="T15" s="4" t="s">
        <v>35</v>
      </c>
      <c r="U15" s="9" t="s">
        <v>4</v>
      </c>
      <c r="V15" s="2" t="s">
        <v>36</v>
      </c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1">
        <v>10.0</v>
      </c>
      <c r="B16" s="10">
        <f t="shared" ref="B16:B26" si="4">1-$N$13/A16</f>
        <v>0.23</v>
      </c>
      <c r="C16" s="2"/>
      <c r="D16" s="2"/>
      <c r="E16" s="2">
        <f>0.000727</f>
        <v>0.000727</v>
      </c>
      <c r="F16" s="2">
        <f t="shared" ref="F16:F25" si="5">0.000004</f>
        <v>0.000004</v>
      </c>
      <c r="G16" s="2">
        <f>0.000268</f>
        <v>0.000268</v>
      </c>
      <c r="H16" s="2">
        <f t="shared" ref="H16:H25" si="6">0.000004</f>
        <v>0.000004</v>
      </c>
      <c r="I16" s="2">
        <f t="shared" ref="I16:J16" si="1">E16+G16</f>
        <v>0.000995</v>
      </c>
      <c r="J16" s="2">
        <f t="shared" si="1"/>
        <v>0.000008</v>
      </c>
      <c r="K16" s="14">
        <f t="shared" ref="K16:K25" si="8">G16/I16</f>
        <v>0.2693467337</v>
      </c>
      <c r="L16" s="14">
        <f t="shared" ref="L16:L25" si="9">H16/I16+(G16*J16)/I16^2</f>
        <v>0.006185702381</v>
      </c>
      <c r="M16" s="1">
        <v>9.78</v>
      </c>
      <c r="N16" s="1">
        <v>0.01</v>
      </c>
      <c r="O16" s="2">
        <f t="shared" ref="O16:O25" si="10">M16/$N$13</f>
        <v>1.27012987</v>
      </c>
      <c r="P16" s="2">
        <f t="shared" ref="P16:P25" si="11">(N16/$N$13)+(M16*$O$13/$N$13^2)</f>
        <v>0.01779389442</v>
      </c>
      <c r="Q16" s="2">
        <f t="shared" ref="Q16:Q25" si="12">1/(1-K16)</f>
        <v>1.368638239</v>
      </c>
      <c r="R16" s="2">
        <f t="shared" ref="R16:R25" si="13">L16/(1-K16)^2</f>
        <v>0.01158687603</v>
      </c>
      <c r="S16" s="10">
        <f t="shared" ref="S16:S25" si="14">(O16-Q16/Q16)</f>
        <v>0.2701298701</v>
      </c>
      <c r="T16" s="2">
        <f t="shared" ref="T16:T25" si="15">Q16-$T$12/$N$13</f>
        <v>1.277729148</v>
      </c>
      <c r="U16" s="2">
        <f t="shared" ref="U16:U25" si="16">P16+($T$12*$O$13)/$N$13^2</f>
        <v>0.01897453196</v>
      </c>
      <c r="V16" s="14">
        <f t="shared" ref="V16:W16" si="2">K16</f>
        <v>0.2693467337</v>
      </c>
      <c r="W16" s="14">
        <f t="shared" si="2"/>
        <v>0.006185702381</v>
      </c>
      <c r="X16" s="2">
        <f t="shared" ref="X16:Y16" si="3">Q16</f>
        <v>1.368638239</v>
      </c>
      <c r="Y16" s="2">
        <f t="shared" si="3"/>
        <v>0.01158687603</v>
      </c>
      <c r="Z16" s="2"/>
      <c r="AA16" s="2"/>
      <c r="AB16" s="2"/>
      <c r="AC16" s="2"/>
      <c r="AD16" s="2"/>
      <c r="AE16" s="2"/>
      <c r="AF16" s="2"/>
    </row>
    <row r="17">
      <c r="A17" s="1">
        <v>11.0</v>
      </c>
      <c r="B17" s="10">
        <f t="shared" si="4"/>
        <v>0.3</v>
      </c>
      <c r="C17" s="2"/>
      <c r="D17" s="2"/>
      <c r="E17" s="2">
        <f>0.000651</f>
        <v>0.000651</v>
      </c>
      <c r="F17" s="2">
        <f t="shared" si="5"/>
        <v>0.000004</v>
      </c>
      <c r="G17" s="2">
        <f>0.000337</f>
        <v>0.000337</v>
      </c>
      <c r="H17" s="2">
        <f t="shared" si="6"/>
        <v>0.000004</v>
      </c>
      <c r="I17" s="2">
        <f t="shared" ref="I17:J17" si="7">E17+G17</f>
        <v>0.000988</v>
      </c>
      <c r="J17" s="2">
        <f t="shared" si="7"/>
        <v>0.000008</v>
      </c>
      <c r="K17" s="14">
        <f t="shared" si="8"/>
        <v>0.3410931174</v>
      </c>
      <c r="L17" s="14">
        <f t="shared" si="9"/>
        <v>0.006810470586</v>
      </c>
      <c r="M17" s="1">
        <v>10.86</v>
      </c>
      <c r="N17" s="1">
        <v>0.01</v>
      </c>
      <c r="O17" s="2">
        <f t="shared" si="10"/>
        <v>1.41038961</v>
      </c>
      <c r="P17" s="2">
        <f t="shared" si="11"/>
        <v>0.01961544949</v>
      </c>
      <c r="Q17" s="2">
        <f t="shared" si="12"/>
        <v>1.517665131</v>
      </c>
      <c r="R17" s="2">
        <f t="shared" si="13"/>
        <v>0.01568660763</v>
      </c>
      <c r="S17" s="10">
        <f t="shared" si="14"/>
        <v>0.4103896104</v>
      </c>
      <c r="T17" s="2">
        <f t="shared" si="15"/>
        <v>1.42675604</v>
      </c>
      <c r="U17" s="2">
        <f t="shared" si="16"/>
        <v>0.02079608703</v>
      </c>
      <c r="V17" s="14">
        <f t="shared" ref="V17:W17" si="17">K17</f>
        <v>0.3410931174</v>
      </c>
      <c r="W17" s="14">
        <f t="shared" si="17"/>
        <v>0.006810470586</v>
      </c>
      <c r="X17" s="2">
        <f t="shared" ref="X17:Y17" si="18">Q17</f>
        <v>1.517665131</v>
      </c>
      <c r="Y17" s="2">
        <f t="shared" si="18"/>
        <v>0.01568660763</v>
      </c>
      <c r="Z17" s="2"/>
      <c r="AA17" s="2"/>
      <c r="AB17" s="2"/>
      <c r="AC17" s="2"/>
      <c r="AD17" s="2"/>
      <c r="AE17" s="2"/>
      <c r="AF17" s="2"/>
    </row>
    <row r="18">
      <c r="A18" s="1">
        <v>12.0</v>
      </c>
      <c r="B18" s="10">
        <f t="shared" si="4"/>
        <v>0.3583333333</v>
      </c>
      <c r="C18" s="2"/>
      <c r="D18" s="2"/>
      <c r="E18" s="2">
        <f>0.000587</f>
        <v>0.000587</v>
      </c>
      <c r="F18" s="2">
        <f t="shared" si="5"/>
        <v>0.000004</v>
      </c>
      <c r="G18" s="2">
        <f>0.000404</f>
        <v>0.000404</v>
      </c>
      <c r="H18" s="2">
        <f t="shared" si="6"/>
        <v>0.000004</v>
      </c>
      <c r="I18" s="2">
        <f t="shared" ref="I18:J18" si="19">E18+G18</f>
        <v>0.000991</v>
      </c>
      <c r="J18" s="2">
        <f t="shared" si="19"/>
        <v>0.000008</v>
      </c>
      <c r="K18" s="14">
        <f t="shared" si="8"/>
        <v>0.4076690212</v>
      </c>
      <c r="L18" s="14">
        <f t="shared" si="9"/>
        <v>0.00732729785</v>
      </c>
      <c r="M18" s="1">
        <v>12.12</v>
      </c>
      <c r="N18" s="1">
        <v>0.01</v>
      </c>
      <c r="O18" s="2">
        <f t="shared" si="10"/>
        <v>1.574025974</v>
      </c>
      <c r="P18" s="2">
        <f t="shared" si="11"/>
        <v>0.02174059707</v>
      </c>
      <c r="Q18" s="2">
        <f t="shared" si="12"/>
        <v>1.688245315</v>
      </c>
      <c r="R18" s="2">
        <f t="shared" si="13"/>
        <v>0.02088406096</v>
      </c>
      <c r="S18" s="10">
        <f t="shared" si="14"/>
        <v>0.574025974</v>
      </c>
      <c r="T18" s="2">
        <f t="shared" si="15"/>
        <v>1.597336224</v>
      </c>
      <c r="U18" s="2">
        <f t="shared" si="16"/>
        <v>0.02292123461</v>
      </c>
      <c r="V18" s="14">
        <f t="shared" ref="V18:W18" si="20">K18</f>
        <v>0.4076690212</v>
      </c>
      <c r="W18" s="14">
        <f t="shared" si="20"/>
        <v>0.00732729785</v>
      </c>
      <c r="X18" s="2">
        <f t="shared" ref="X18:Y18" si="21">Q18</f>
        <v>1.688245315</v>
      </c>
      <c r="Y18" s="2">
        <f t="shared" si="21"/>
        <v>0.02088406096</v>
      </c>
      <c r="Z18" s="2"/>
      <c r="AA18" s="2"/>
      <c r="AB18" s="2"/>
      <c r="AC18" s="2"/>
      <c r="AD18" s="2"/>
      <c r="AE18" s="2"/>
      <c r="AF18" s="2"/>
    </row>
    <row r="19">
      <c r="A19" s="1">
        <v>13.0</v>
      </c>
      <c r="B19" s="10">
        <f t="shared" si="4"/>
        <v>0.4076923077</v>
      </c>
      <c r="C19" s="2"/>
      <c r="D19" s="2"/>
      <c r="E19" s="2">
        <f>0.000534</f>
        <v>0.000534</v>
      </c>
      <c r="F19" s="2">
        <f t="shared" si="5"/>
        <v>0.000004</v>
      </c>
      <c r="G19" s="2">
        <f>0.000457</f>
        <v>0.000457</v>
      </c>
      <c r="H19" s="2">
        <f t="shared" si="6"/>
        <v>0.000004</v>
      </c>
      <c r="I19" s="2">
        <f t="shared" ref="I19:J19" si="22">E19+G19</f>
        <v>0.000991</v>
      </c>
      <c r="J19" s="2">
        <f t="shared" si="22"/>
        <v>0.000008</v>
      </c>
      <c r="K19" s="14">
        <f t="shared" si="8"/>
        <v>0.4611503532</v>
      </c>
      <c r="L19" s="14">
        <f t="shared" si="9"/>
        <v>0.007759034133</v>
      </c>
      <c r="M19" s="1">
        <v>13.21</v>
      </c>
      <c r="N19" s="1">
        <v>0.01</v>
      </c>
      <c r="O19" s="2">
        <f t="shared" si="10"/>
        <v>1.715584416</v>
      </c>
      <c r="P19" s="2">
        <f t="shared" si="11"/>
        <v>0.02357901838</v>
      </c>
      <c r="Q19" s="2">
        <f t="shared" si="12"/>
        <v>1.855805243</v>
      </c>
      <c r="R19" s="2">
        <f t="shared" si="13"/>
        <v>0.02672221521</v>
      </c>
      <c r="S19" s="10">
        <f t="shared" si="14"/>
        <v>0.7155844156</v>
      </c>
      <c r="T19" s="2">
        <f t="shared" si="15"/>
        <v>1.764896153</v>
      </c>
      <c r="U19" s="2">
        <f t="shared" si="16"/>
        <v>0.02475965593</v>
      </c>
      <c r="V19" s="14">
        <f t="shared" ref="V19:W19" si="23">K19</f>
        <v>0.4611503532</v>
      </c>
      <c r="W19" s="14">
        <f t="shared" si="23"/>
        <v>0.007759034133</v>
      </c>
      <c r="X19" s="2">
        <f t="shared" ref="X19:Y19" si="24">Q19</f>
        <v>1.855805243</v>
      </c>
      <c r="Y19" s="2">
        <f t="shared" si="24"/>
        <v>0.02672221521</v>
      </c>
      <c r="Z19" s="2"/>
      <c r="AA19" s="2"/>
      <c r="AB19" s="2"/>
      <c r="AC19" s="2"/>
      <c r="AD19" s="2"/>
      <c r="AE19" s="2"/>
      <c r="AF19" s="2"/>
    </row>
    <row r="20">
      <c r="A20" s="1">
        <v>14.0</v>
      </c>
      <c r="B20" s="10">
        <f t="shared" si="4"/>
        <v>0.45</v>
      </c>
      <c r="C20" s="2"/>
      <c r="D20" s="2"/>
      <c r="E20" s="2">
        <f>0.000497</f>
        <v>0.000497</v>
      </c>
      <c r="F20" s="2">
        <f t="shared" si="5"/>
        <v>0.000004</v>
      </c>
      <c r="G20" s="2">
        <f>0.000498</f>
        <v>0.000498</v>
      </c>
      <c r="H20" s="2">
        <f t="shared" si="6"/>
        <v>0.000004</v>
      </c>
      <c r="I20" s="2">
        <f t="shared" ref="I20:J20" si="25">E20+G20</f>
        <v>0.000995</v>
      </c>
      <c r="J20" s="2">
        <f t="shared" si="25"/>
        <v>0.000008</v>
      </c>
      <c r="K20" s="14">
        <f t="shared" si="8"/>
        <v>0.5005025126</v>
      </c>
      <c r="L20" s="14">
        <f t="shared" si="9"/>
        <v>0.008044241307</v>
      </c>
      <c r="M20" s="1">
        <v>13.99</v>
      </c>
      <c r="N20" s="1">
        <v>0.01</v>
      </c>
      <c r="O20" s="2">
        <f t="shared" si="10"/>
        <v>1.816883117</v>
      </c>
      <c r="P20" s="2">
        <f t="shared" si="11"/>
        <v>0.02489458593</v>
      </c>
      <c r="Q20" s="2">
        <f t="shared" si="12"/>
        <v>2.002012072</v>
      </c>
      <c r="R20" s="2">
        <f t="shared" si="13"/>
        <v>0.03224174018</v>
      </c>
      <c r="S20" s="10">
        <f t="shared" si="14"/>
        <v>0.8168831169</v>
      </c>
      <c r="T20" s="2">
        <f t="shared" si="15"/>
        <v>1.911102982</v>
      </c>
      <c r="U20" s="2">
        <f t="shared" si="16"/>
        <v>0.02607522348</v>
      </c>
      <c r="V20" s="14">
        <f t="shared" ref="V20:W20" si="26">K20</f>
        <v>0.5005025126</v>
      </c>
      <c r="W20" s="14">
        <f t="shared" si="26"/>
        <v>0.008044241307</v>
      </c>
      <c r="X20" s="2">
        <f t="shared" ref="X20:Y20" si="27">Q20</f>
        <v>2.002012072</v>
      </c>
      <c r="Y20" s="2">
        <f t="shared" si="27"/>
        <v>0.03224174018</v>
      </c>
      <c r="Z20" s="2"/>
      <c r="AA20" s="2"/>
      <c r="AB20" s="2"/>
      <c r="AC20" s="2"/>
      <c r="AD20" s="2"/>
      <c r="AE20" s="2"/>
      <c r="AF20" s="2"/>
    </row>
    <row r="21">
      <c r="A21" s="1">
        <v>15.0</v>
      </c>
      <c r="B21" s="10">
        <f t="shared" si="4"/>
        <v>0.4866666667</v>
      </c>
      <c r="C21" s="2"/>
      <c r="D21" s="2"/>
      <c r="E21" s="2">
        <f>0.000441</f>
        <v>0.000441</v>
      </c>
      <c r="F21" s="2">
        <f t="shared" si="5"/>
        <v>0.000004</v>
      </c>
      <c r="G21" s="2">
        <f>0.000544</f>
        <v>0.000544</v>
      </c>
      <c r="H21" s="2">
        <f t="shared" si="6"/>
        <v>0.000004</v>
      </c>
      <c r="I21" s="2">
        <f t="shared" ref="I21:J21" si="28">E21+G21</f>
        <v>0.000985</v>
      </c>
      <c r="J21" s="2">
        <f t="shared" si="28"/>
        <v>0.000008</v>
      </c>
      <c r="K21" s="14">
        <f t="shared" si="8"/>
        <v>0.552284264</v>
      </c>
      <c r="L21" s="14">
        <f t="shared" si="9"/>
        <v>0.008546471179</v>
      </c>
      <c r="M21" s="1">
        <v>15.22</v>
      </c>
      <c r="N21" s="1">
        <v>0.01</v>
      </c>
      <c r="O21" s="2">
        <f t="shared" si="10"/>
        <v>1.976623377</v>
      </c>
      <c r="P21" s="2">
        <f t="shared" si="11"/>
        <v>0.02696913476</v>
      </c>
      <c r="Q21" s="2">
        <f t="shared" si="12"/>
        <v>2.233560091</v>
      </c>
      <c r="R21" s="2">
        <f t="shared" si="13"/>
        <v>0.04263655576</v>
      </c>
      <c r="S21" s="10">
        <f t="shared" si="14"/>
        <v>0.9766233766</v>
      </c>
      <c r="T21" s="2">
        <f t="shared" si="15"/>
        <v>2.142651</v>
      </c>
      <c r="U21" s="2">
        <f t="shared" si="16"/>
        <v>0.02814977231</v>
      </c>
      <c r="V21" s="14">
        <f t="shared" ref="V21:W21" si="29">K21</f>
        <v>0.552284264</v>
      </c>
      <c r="W21" s="14">
        <f t="shared" si="29"/>
        <v>0.008546471179</v>
      </c>
      <c r="X21" s="2">
        <f t="shared" ref="X21:Y21" si="30">Q21</f>
        <v>2.233560091</v>
      </c>
      <c r="Y21" s="2">
        <f t="shared" si="30"/>
        <v>0.04263655576</v>
      </c>
      <c r="Z21" s="2"/>
      <c r="AA21" s="2"/>
      <c r="AB21" s="2"/>
      <c r="AC21" s="2"/>
      <c r="AD21" s="2"/>
      <c r="AE21" s="2"/>
      <c r="AF21" s="2"/>
    </row>
    <row r="22">
      <c r="A22" s="1">
        <v>16.0</v>
      </c>
      <c r="B22" s="10">
        <f t="shared" si="4"/>
        <v>0.51875</v>
      </c>
      <c r="C22" s="2"/>
      <c r="D22" s="2"/>
      <c r="E22" s="2">
        <f>0.000427</f>
        <v>0.000427</v>
      </c>
      <c r="F22" s="2">
        <f t="shared" si="5"/>
        <v>0.000004</v>
      </c>
      <c r="G22" s="2">
        <f>0.000574</f>
        <v>0.000574</v>
      </c>
      <c r="H22" s="2">
        <f t="shared" si="6"/>
        <v>0.000004</v>
      </c>
      <c r="I22" s="2">
        <f t="shared" ref="I22:J22" si="31">E22+G22</f>
        <v>0.001001</v>
      </c>
      <c r="J22" s="2">
        <f t="shared" si="31"/>
        <v>0.000008</v>
      </c>
      <c r="K22" s="14">
        <f t="shared" si="8"/>
        <v>0.5734265734</v>
      </c>
      <c r="L22" s="14">
        <f t="shared" si="9"/>
        <v>0.008578833754</v>
      </c>
      <c r="M22" s="1">
        <v>15.96</v>
      </c>
      <c r="N22" s="1">
        <v>0.01</v>
      </c>
      <c r="O22" s="2">
        <f t="shared" si="10"/>
        <v>2.072727273</v>
      </c>
      <c r="P22" s="2">
        <f t="shared" si="11"/>
        <v>0.02821723731</v>
      </c>
      <c r="Q22" s="2">
        <f t="shared" si="12"/>
        <v>2.344262295</v>
      </c>
      <c r="R22" s="2">
        <f t="shared" si="13"/>
        <v>0.04714554459</v>
      </c>
      <c r="S22" s="10">
        <f t="shared" si="14"/>
        <v>1.072727273</v>
      </c>
      <c r="T22" s="2">
        <f t="shared" si="15"/>
        <v>2.253353204</v>
      </c>
      <c r="U22" s="2">
        <f t="shared" si="16"/>
        <v>0.02939787485</v>
      </c>
      <c r="V22" s="14">
        <f t="shared" ref="V22:W22" si="32">K22</f>
        <v>0.5734265734</v>
      </c>
      <c r="W22" s="14">
        <f t="shared" si="32"/>
        <v>0.008578833754</v>
      </c>
      <c r="X22" s="2">
        <f t="shared" ref="X22:Y22" si="33">Q22</f>
        <v>2.344262295</v>
      </c>
      <c r="Y22" s="2">
        <f t="shared" si="33"/>
        <v>0.04714554459</v>
      </c>
      <c r="Z22" s="2"/>
      <c r="AA22" s="2"/>
      <c r="AB22" s="2"/>
      <c r="AC22" s="2"/>
      <c r="AD22" s="2"/>
      <c r="AE22" s="2"/>
      <c r="AF22" s="2"/>
    </row>
    <row r="23">
      <c r="A23" s="1">
        <v>17.0</v>
      </c>
      <c r="B23" s="10">
        <f t="shared" si="4"/>
        <v>0.5470588235</v>
      </c>
      <c r="C23" s="2"/>
      <c r="D23" s="2"/>
      <c r="E23" s="2">
        <f>0.00039</f>
        <v>0.00039</v>
      </c>
      <c r="F23" s="2">
        <f t="shared" si="5"/>
        <v>0.000004</v>
      </c>
      <c r="G23" s="2">
        <f>0.000599</f>
        <v>0.000599</v>
      </c>
      <c r="H23" s="2">
        <f t="shared" si="6"/>
        <v>0.000004</v>
      </c>
      <c r="I23" s="2">
        <f t="shared" ref="I23:J23" si="34">E23+G23</f>
        <v>0.000989</v>
      </c>
      <c r="J23" s="2">
        <f t="shared" si="34"/>
        <v>0.000008</v>
      </c>
      <c r="K23" s="14">
        <f t="shared" si="8"/>
        <v>0.6056622851</v>
      </c>
      <c r="L23" s="14">
        <f t="shared" si="9"/>
        <v>0.008943678747</v>
      </c>
      <c r="M23" s="1">
        <v>17.06</v>
      </c>
      <c r="N23" s="1">
        <v>0.01</v>
      </c>
      <c r="O23" s="2">
        <f t="shared" si="10"/>
        <v>2.215584416</v>
      </c>
      <c r="P23" s="2">
        <f t="shared" si="11"/>
        <v>0.03007252488</v>
      </c>
      <c r="Q23" s="2">
        <f t="shared" si="12"/>
        <v>2.535897436</v>
      </c>
      <c r="R23" s="2">
        <f t="shared" si="13"/>
        <v>0.0575147929</v>
      </c>
      <c r="S23" s="10">
        <f t="shared" si="14"/>
        <v>1.215584416</v>
      </c>
      <c r="T23" s="2">
        <f t="shared" si="15"/>
        <v>2.444988345</v>
      </c>
      <c r="U23" s="2">
        <f t="shared" si="16"/>
        <v>0.03125316242</v>
      </c>
      <c r="V23" s="14">
        <f t="shared" ref="V23:W23" si="35">K23</f>
        <v>0.6056622851</v>
      </c>
      <c r="W23" s="14">
        <f t="shared" si="35"/>
        <v>0.008943678747</v>
      </c>
      <c r="X23" s="2">
        <f t="shared" ref="X23:Y23" si="36">Q23</f>
        <v>2.535897436</v>
      </c>
      <c r="Y23" s="2">
        <f t="shared" si="36"/>
        <v>0.0575147929</v>
      </c>
      <c r="Z23" s="2"/>
      <c r="AA23" s="2"/>
      <c r="AB23" s="2"/>
      <c r="AC23" s="2"/>
      <c r="AD23" s="2"/>
      <c r="AE23" s="2"/>
      <c r="AF23" s="2"/>
    </row>
    <row r="24">
      <c r="A24" s="1">
        <v>18.0</v>
      </c>
      <c r="B24" s="10">
        <f t="shared" si="4"/>
        <v>0.5722222222</v>
      </c>
      <c r="C24" s="2"/>
      <c r="D24" s="2"/>
      <c r="E24" s="2">
        <f>0.000363</f>
        <v>0.000363</v>
      </c>
      <c r="F24" s="2">
        <f t="shared" si="5"/>
        <v>0.000004</v>
      </c>
      <c r="G24" s="2">
        <f>0.000615</f>
        <v>0.000615</v>
      </c>
      <c r="H24" s="2">
        <f t="shared" si="6"/>
        <v>0.000004</v>
      </c>
      <c r="I24" s="2">
        <f t="shared" ref="I24:J24" si="37">E24+G24</f>
        <v>0.000978</v>
      </c>
      <c r="J24" s="2">
        <f t="shared" si="37"/>
        <v>0.000008</v>
      </c>
      <c r="K24" s="14">
        <f t="shared" si="8"/>
        <v>0.6288343558</v>
      </c>
      <c r="L24" s="14">
        <f t="shared" si="9"/>
        <v>0.009233818862</v>
      </c>
      <c r="M24" s="1">
        <v>17.9</v>
      </c>
      <c r="N24" s="1">
        <v>0.01</v>
      </c>
      <c r="O24" s="2">
        <f t="shared" si="10"/>
        <v>2.324675325</v>
      </c>
      <c r="P24" s="2">
        <f t="shared" si="11"/>
        <v>0.03148928993</v>
      </c>
      <c r="Q24" s="2">
        <f t="shared" si="12"/>
        <v>2.694214876</v>
      </c>
      <c r="R24" s="2">
        <f t="shared" si="13"/>
        <v>0.06702638709</v>
      </c>
      <c r="S24" s="10">
        <f t="shared" si="14"/>
        <v>1.324675325</v>
      </c>
      <c r="T24" s="2">
        <f t="shared" si="15"/>
        <v>2.603305785</v>
      </c>
      <c r="U24" s="2">
        <f t="shared" si="16"/>
        <v>0.03266992748</v>
      </c>
      <c r="V24" s="14">
        <f t="shared" ref="V24:W24" si="38">K24</f>
        <v>0.6288343558</v>
      </c>
      <c r="W24" s="14">
        <f t="shared" si="38"/>
        <v>0.009233818862</v>
      </c>
      <c r="X24" s="2">
        <f t="shared" ref="X24:Y24" si="39">Q24</f>
        <v>2.694214876</v>
      </c>
      <c r="Y24" s="2">
        <f t="shared" si="39"/>
        <v>0.06702638709</v>
      </c>
      <c r="Z24" s="2"/>
      <c r="AA24" s="2"/>
      <c r="AB24" s="2"/>
      <c r="AC24" s="2"/>
      <c r="AD24" s="2"/>
      <c r="AE24" s="2"/>
      <c r="AF24" s="2"/>
    </row>
    <row r="25">
      <c r="A25" s="1">
        <v>19.0</v>
      </c>
      <c r="B25" s="10">
        <f t="shared" si="4"/>
        <v>0.5947368421</v>
      </c>
      <c r="C25" s="2"/>
      <c r="D25" s="2"/>
      <c r="E25" s="2">
        <f>0.000344</f>
        <v>0.000344</v>
      </c>
      <c r="F25" s="2">
        <f t="shared" si="5"/>
        <v>0.000004</v>
      </c>
      <c r="G25" s="2">
        <f>0.000646</f>
        <v>0.000646</v>
      </c>
      <c r="H25" s="2">
        <f t="shared" si="6"/>
        <v>0.000004</v>
      </c>
      <c r="I25" s="2">
        <f t="shared" ref="I25:J25" si="40">E25+G25</f>
        <v>0.00099</v>
      </c>
      <c r="J25" s="2">
        <f t="shared" si="40"/>
        <v>0.000008</v>
      </c>
      <c r="K25" s="14">
        <f t="shared" si="8"/>
        <v>0.6525252525</v>
      </c>
      <c r="L25" s="14">
        <f t="shared" si="9"/>
        <v>0.009313335374</v>
      </c>
      <c r="M25" s="1">
        <v>19.16</v>
      </c>
      <c r="N25" s="1">
        <v>0.01</v>
      </c>
      <c r="O25" s="2">
        <f t="shared" si="10"/>
        <v>2.488311688</v>
      </c>
      <c r="P25" s="2">
        <f t="shared" si="11"/>
        <v>0.03361443751</v>
      </c>
      <c r="Q25" s="2">
        <f t="shared" si="12"/>
        <v>2.877906977</v>
      </c>
      <c r="R25" s="2">
        <f t="shared" si="13"/>
        <v>0.07713628989</v>
      </c>
      <c r="S25" s="10">
        <f t="shared" si="14"/>
        <v>1.488311688</v>
      </c>
      <c r="T25" s="2">
        <f t="shared" si="15"/>
        <v>2.786997886</v>
      </c>
      <c r="U25" s="2">
        <f t="shared" si="16"/>
        <v>0.03479507505</v>
      </c>
      <c r="V25" s="14">
        <f t="shared" ref="V25:W25" si="41">K25</f>
        <v>0.6525252525</v>
      </c>
      <c r="W25" s="14">
        <f t="shared" si="41"/>
        <v>0.009313335374</v>
      </c>
      <c r="X25" s="2">
        <f t="shared" ref="X25:Y25" si="42">Q25</f>
        <v>2.877906977</v>
      </c>
      <c r="Y25" s="2">
        <f t="shared" si="42"/>
        <v>0.07713628989</v>
      </c>
      <c r="Z25" s="2"/>
      <c r="AA25" s="2"/>
      <c r="AB25" s="2"/>
      <c r="AC25" s="2"/>
      <c r="AD25" s="2"/>
      <c r="AE25" s="2"/>
      <c r="AF25" s="2"/>
    </row>
    <row r="26">
      <c r="A26" s="1">
        <v>20.0</v>
      </c>
      <c r="B26" s="10">
        <f t="shared" si="4"/>
        <v>0.615</v>
      </c>
      <c r="C26" s="2"/>
      <c r="D26" s="2"/>
      <c r="E26" s="2"/>
      <c r="F26" s="2"/>
      <c r="G26" s="2"/>
      <c r="H26" s="2"/>
      <c r="I26" s="2"/>
      <c r="J26" s="2"/>
      <c r="K26" s="15"/>
      <c r="L26" s="10"/>
      <c r="M26" s="2"/>
      <c r="N26" s="1"/>
      <c r="O26" s="2"/>
      <c r="P26" s="2"/>
      <c r="Q26" s="2"/>
      <c r="R26" s="2"/>
      <c r="S26" s="10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>
      <c r="A28" s="16" t="s">
        <v>37</v>
      </c>
      <c r="B28" s="17"/>
      <c r="C28" s="17"/>
      <c r="D28" s="1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>
      <c r="A29" s="4" t="s">
        <v>38</v>
      </c>
      <c r="B29" s="4" t="s">
        <v>39</v>
      </c>
      <c r="C29" s="4" t="s">
        <v>25</v>
      </c>
      <c r="D29" s="11" t="s">
        <v>40</v>
      </c>
      <c r="E29" s="9"/>
      <c r="F29" s="9"/>
      <c r="G29" s="9"/>
      <c r="H29" s="9"/>
      <c r="I29" s="9"/>
      <c r="J29" s="9"/>
      <c r="K29" s="9" t="s">
        <v>4</v>
      </c>
      <c r="L29" s="8" t="s">
        <v>41</v>
      </c>
      <c r="M29" s="1"/>
      <c r="N29" s="1"/>
      <c r="O29" s="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>
      <c r="A30" s="1">
        <v>1.1</v>
      </c>
      <c r="B30" s="1">
        <v>0.7</v>
      </c>
      <c r="C30" s="1">
        <v>0.575</v>
      </c>
      <c r="D30" s="10">
        <f>1-(A30/N3)*C30-(B30/N3)*(1-C30)</f>
        <v>0.88375</v>
      </c>
      <c r="E30" s="1"/>
      <c r="F30" s="1"/>
      <c r="G30" s="1"/>
      <c r="H30" s="1"/>
      <c r="I30" s="1"/>
      <c r="J30" s="1"/>
      <c r="K30" s="1">
        <f>(A30*C30*O3)/N3^2+(B30*(1-C30)*O3)/N3^2</f>
        <v>0.001453125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>
      <c r="A32" s="18" t="s">
        <v>42</v>
      </c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>
      <c r="A33" s="4" t="s">
        <v>43</v>
      </c>
      <c r="B33" s="9" t="s">
        <v>4</v>
      </c>
      <c r="C33" s="4" t="s">
        <v>9</v>
      </c>
      <c r="D33" s="5" t="s">
        <v>4</v>
      </c>
      <c r="E33" s="4" t="s">
        <v>27</v>
      </c>
      <c r="F33" s="9" t="s">
        <v>4</v>
      </c>
      <c r="G33" s="4" t="s">
        <v>28</v>
      </c>
      <c r="H33" s="9" t="s">
        <v>4</v>
      </c>
      <c r="I33" s="4" t="s">
        <v>29</v>
      </c>
      <c r="J33" s="9" t="s">
        <v>4</v>
      </c>
      <c r="K33" s="4" t="s">
        <v>44</v>
      </c>
      <c r="L33" s="5" t="s">
        <v>4</v>
      </c>
      <c r="M33" s="4" t="s">
        <v>45</v>
      </c>
      <c r="N33" s="5" t="s">
        <v>4</v>
      </c>
      <c r="O33" s="4" t="s">
        <v>46</v>
      </c>
      <c r="P33" s="5" t="s">
        <v>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>
      <c r="A34" s="10">
        <f>G34/I34</f>
        <v>0.5075075075</v>
      </c>
      <c r="B34" s="10">
        <f>H34/I34+(G34*J34)/I34^2</f>
        <v>0.008068128188</v>
      </c>
      <c r="C34" s="1">
        <v>7.5</v>
      </c>
      <c r="D34" s="1">
        <v>0.1</v>
      </c>
      <c r="E34" s="2">
        <f>0.000492</f>
        <v>0.000492</v>
      </c>
      <c r="F34" s="2">
        <f>0.000004</f>
        <v>0.000004</v>
      </c>
      <c r="G34" s="2">
        <f>0.000507</f>
        <v>0.000507</v>
      </c>
      <c r="H34" s="2">
        <f>0.000004</f>
        <v>0.000004</v>
      </c>
      <c r="I34" s="2">
        <f t="shared" ref="I34:J34" si="43">E34+G34</f>
        <v>0.000999</v>
      </c>
      <c r="J34" s="2">
        <f t="shared" si="43"/>
        <v>0.000008</v>
      </c>
      <c r="K34" s="1">
        <v>0.64</v>
      </c>
      <c r="L34" s="1">
        <v>0.01</v>
      </c>
      <c r="M34" s="1">
        <v>13.84</v>
      </c>
      <c r="N34" s="1">
        <v>0.01</v>
      </c>
      <c r="O34" s="2">
        <f>M34/C3</f>
        <v>0.2950959488</v>
      </c>
      <c r="P34" s="2">
        <f>N34/C3+(M34*D3)/C3^2</f>
        <v>0.0008424220657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>
      <c r="A36" s="4" t="s">
        <v>47</v>
      </c>
      <c r="B36" s="9" t="s">
        <v>4</v>
      </c>
      <c r="C36" s="4" t="s">
        <v>48</v>
      </c>
      <c r="D36" s="9" t="s">
        <v>4</v>
      </c>
      <c r="E36" s="1"/>
      <c r="F36" s="1"/>
      <c r="G36" s="1"/>
      <c r="H36" s="1"/>
      <c r="I36" s="1"/>
      <c r="J36" s="1"/>
      <c r="K36" s="11" t="s">
        <v>37</v>
      </c>
      <c r="L36" s="9" t="s">
        <v>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>
      <c r="A37" s="2">
        <f>C34*K34</f>
        <v>4.8</v>
      </c>
      <c r="B37" s="2">
        <f>D34*K34+L34*C34</f>
        <v>0.139</v>
      </c>
      <c r="C37" s="2">
        <f>M34*O34</f>
        <v>4.084127932</v>
      </c>
      <c r="D37" s="2">
        <f>M34*P34+O34*N34</f>
        <v>0.01461008088</v>
      </c>
      <c r="E37" s="2"/>
      <c r="F37" s="2"/>
      <c r="G37" s="2"/>
      <c r="H37" s="2"/>
      <c r="I37" s="2"/>
      <c r="J37" s="2"/>
      <c r="K37" s="10">
        <f>C37/A37</f>
        <v>0.8508599858</v>
      </c>
      <c r="L37" s="10">
        <f>D37/A37+(C37*B37)/A37^2</f>
        <v>0.02768325394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>
      <c r="A40" s="6" t="s">
        <v>49</v>
      </c>
      <c r="B40" s="17"/>
      <c r="C40" s="17"/>
      <c r="D40" s="17"/>
      <c r="E40" s="1"/>
      <c r="F40" s="1"/>
      <c r="G40" s="1"/>
      <c r="H40" s="1"/>
      <c r="I40" s="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>
      <c r="A41" s="4" t="s">
        <v>10</v>
      </c>
      <c r="B41" s="9" t="s">
        <v>4</v>
      </c>
      <c r="C41" s="4" t="s">
        <v>50</v>
      </c>
      <c r="D41" s="9" t="s">
        <v>4</v>
      </c>
      <c r="E41" s="1"/>
      <c r="F41" s="1"/>
      <c r="G41" s="1"/>
      <c r="H41" s="1"/>
      <c r="I41" s="4" t="s">
        <v>51</v>
      </c>
      <c r="J41" s="9" t="s">
        <v>4</v>
      </c>
      <c r="K41" s="4" t="s">
        <v>52</v>
      </c>
      <c r="L41" s="9" t="s">
        <v>4</v>
      </c>
      <c r="M41" s="4" t="s">
        <v>53</v>
      </c>
      <c r="N41" s="9" t="s">
        <v>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>
      <c r="A42" s="1">
        <v>46.9</v>
      </c>
      <c r="B42" s="1">
        <v>0.1</v>
      </c>
      <c r="C42" s="1">
        <v>13.84</v>
      </c>
      <c r="D42" s="1">
        <v>0.01</v>
      </c>
      <c r="E42" s="2"/>
      <c r="F42" s="2"/>
      <c r="G42" s="2"/>
      <c r="H42" s="2"/>
      <c r="I42" s="1">
        <v>5.2</v>
      </c>
      <c r="J42" s="1">
        <v>0.1</v>
      </c>
      <c r="K42" s="2">
        <f t="shared" ref="K42:L42" si="44">A42+I42</f>
        <v>52.1</v>
      </c>
      <c r="L42" s="2">
        <f t="shared" si="44"/>
        <v>0.2</v>
      </c>
      <c r="M42" s="1">
        <v>13.91</v>
      </c>
      <c r="N42" s="1">
        <v>0.01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>
      <c r="A44" s="11" t="s">
        <v>54</v>
      </c>
      <c r="B44" s="9" t="s">
        <v>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>
      <c r="A45" s="2">
        <f>(M42-C42)/((C42/A42)-(M42/K42))</f>
        <v>2.490271529</v>
      </c>
      <c r="B45" s="2">
        <f>(ABS(A42*K42*C42*(K42-A42))*N42)/(K42*C42-A42*M42)^2+(ABS(A42*K42*M42*(K42-A42))*D42)/(K42*C42-A42*M42)^2+(ABS(K42^2*C42*(C42-M42))*B42)/(K42*C42-A42*M42)^2+(ABS(A42^2*M42*(C42-M42))*L42)/(K42*C42-A42*M42)^2</f>
        <v>0.8939405708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"/>
      <c r="O46" s="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>
      <c r="A47" s="16" t="s">
        <v>55</v>
      </c>
      <c r="B47" s="17"/>
      <c r="C47" s="17"/>
      <c r="D47" s="1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>
      <c r="A48" s="4" t="s">
        <v>25</v>
      </c>
      <c r="B48" s="9" t="s">
        <v>4</v>
      </c>
      <c r="C48" s="4" t="s">
        <v>9</v>
      </c>
      <c r="D48" s="5" t="s">
        <v>4</v>
      </c>
      <c r="E48" s="1"/>
      <c r="F48" s="1"/>
      <c r="G48" s="1"/>
      <c r="H48" s="1"/>
      <c r="I48" s="4" t="s">
        <v>56</v>
      </c>
      <c r="J48" s="5" t="s">
        <v>4</v>
      </c>
      <c r="K48" s="4" t="s">
        <v>57</v>
      </c>
      <c r="L48" s="5" t="s">
        <v>4</v>
      </c>
      <c r="M48" s="2"/>
      <c r="O48" s="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>
      <c r="A49" s="19">
        <f t="shared" ref="A49:B49" si="45">A34</f>
        <v>0.5075075075</v>
      </c>
      <c r="B49" s="10">
        <f t="shared" si="45"/>
        <v>0.008068128188</v>
      </c>
      <c r="C49" s="1">
        <v>7.5</v>
      </c>
      <c r="D49" s="1">
        <v>0.1</v>
      </c>
      <c r="E49" s="2"/>
      <c r="F49" s="2"/>
      <c r="G49" s="2"/>
      <c r="H49" s="2"/>
      <c r="I49" s="2">
        <f>C49/(1-A49)</f>
        <v>15.22865854</v>
      </c>
      <c r="J49" s="2">
        <f>D49/(1-A49)+(C49*B49)/(1-A49)^2</f>
        <v>0.452528257</v>
      </c>
      <c r="K49" s="1">
        <v>13.66</v>
      </c>
      <c r="L49" s="1">
        <v>0.01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1" t="s">
        <v>58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>
      <c r="A51" s="4" t="s">
        <v>59</v>
      </c>
      <c r="B51" s="9" t="s">
        <v>4</v>
      </c>
      <c r="C51" s="4" t="s">
        <v>60</v>
      </c>
      <c r="D51" s="5" t="s">
        <v>4</v>
      </c>
      <c r="E51" s="1"/>
      <c r="F51" s="1"/>
      <c r="G51" s="1"/>
      <c r="H51" s="1"/>
      <c r="I51" s="1"/>
      <c r="J51" s="1"/>
      <c r="K51" s="11" t="s">
        <v>61</v>
      </c>
      <c r="L51" s="5" t="s">
        <v>4</v>
      </c>
      <c r="M51" s="4" t="s">
        <v>62</v>
      </c>
      <c r="N51" s="5" t="s">
        <v>4</v>
      </c>
      <c r="O51" s="4" t="s">
        <v>45</v>
      </c>
      <c r="P51" s="5" t="s">
        <v>4</v>
      </c>
      <c r="Q51" s="11" t="s">
        <v>63</v>
      </c>
      <c r="R51" s="5" t="s">
        <v>4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>
      <c r="A52" s="1">
        <v>1011.0</v>
      </c>
      <c r="B52" s="1">
        <v>1.0</v>
      </c>
      <c r="C52" s="2">
        <f t="shared" ref="C52:C54" si="47">($K$49*$A$49)/($K$3*$C$3*A52)</f>
        <v>0.06645788124</v>
      </c>
      <c r="D52" s="2">
        <f t="shared" ref="D52:D54" si="48">($L$49*$A$49)/($K$3*$C$3*A52)+($K$49*$B$49)/($K$3*$C$3*A52)+($K$49*$A$49*$L$3)/($K$3^2*$C$3*A52)+($K$49*$A$49*$D$3)/($K$3*$C$3^2*A52)+($K$49*$A$49*B52)/($K$3*$C$3*A52^2)</f>
        <v>0.001312605268</v>
      </c>
      <c r="E52" s="2">
        <f t="shared" ref="E52:F52" si="46">C52*1000</f>
        <v>66.45788124</v>
      </c>
      <c r="F52" s="2">
        <f t="shared" si="46"/>
        <v>1.312605268</v>
      </c>
      <c r="G52" s="2"/>
      <c r="H52" s="2"/>
      <c r="I52" s="2"/>
      <c r="J52" s="2"/>
      <c r="K52" s="10">
        <f t="shared" ref="K52:K54" si="50">C52/$K$49</f>
        <v>0.00486514504</v>
      </c>
      <c r="L52" s="10">
        <f t="shared" ref="L52:L54" si="51">D52/$K$49+(C52*$L$49)/$K$49^2</f>
        <v>0.00009965276122</v>
      </c>
      <c r="M52" s="2">
        <f>0.352</f>
        <v>0.352</v>
      </c>
      <c r="N52" s="2">
        <f t="shared" ref="N52:N54" si="52">0.001</f>
        <v>0.001</v>
      </c>
      <c r="O52" s="1">
        <v>13.9</v>
      </c>
      <c r="P52" s="1">
        <v>0.01</v>
      </c>
      <c r="Q52" s="10">
        <f t="shared" ref="Q52:Q54" si="53">M52/O52</f>
        <v>0.02532374101</v>
      </c>
      <c r="R52" s="10">
        <f t="shared" ref="R52:R54" si="54">N52/O52+(M52*P52)/O52^2</f>
        <v>0.00009016096475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>
      <c r="A53" s="1">
        <v>498.0</v>
      </c>
      <c r="B53" s="1">
        <v>1.0</v>
      </c>
      <c r="C53" s="2">
        <f t="shared" si="47"/>
        <v>0.1349175059</v>
      </c>
      <c r="D53" s="2">
        <f t="shared" si="48"/>
        <v>0.002802215965</v>
      </c>
      <c r="E53" s="2">
        <f t="shared" ref="E53:F53" si="49">C53*1000</f>
        <v>134.9175059</v>
      </c>
      <c r="F53" s="2">
        <f t="shared" si="49"/>
        <v>2.802215965</v>
      </c>
      <c r="G53" s="2"/>
      <c r="H53" s="2"/>
      <c r="I53" s="2"/>
      <c r="J53" s="2"/>
      <c r="K53" s="10">
        <f t="shared" si="50"/>
        <v>0.009876830593</v>
      </c>
      <c r="L53" s="10">
        <f t="shared" si="51"/>
        <v>0.0002123707372</v>
      </c>
      <c r="M53" s="2">
        <f>0.441</f>
        <v>0.441</v>
      </c>
      <c r="N53" s="2">
        <f t="shared" si="52"/>
        <v>0.001</v>
      </c>
      <c r="O53" s="1">
        <v>13.84</v>
      </c>
      <c r="P53" s="1">
        <v>0.01</v>
      </c>
      <c r="Q53" s="10">
        <f t="shared" si="53"/>
        <v>0.03186416185</v>
      </c>
      <c r="R53" s="10">
        <f t="shared" si="54"/>
        <v>0.00009527757359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>
      <c r="A54" s="1">
        <v>2005.0</v>
      </c>
      <c r="B54" s="1">
        <v>1.0</v>
      </c>
      <c r="C54" s="2">
        <f t="shared" si="47"/>
        <v>0.03351068226</v>
      </c>
      <c r="D54" s="2">
        <f t="shared" si="48"/>
        <v>0.0006454347764</v>
      </c>
      <c r="E54" s="2">
        <f t="shared" ref="E54:F54" si="55">C54*1000</f>
        <v>33.51068226</v>
      </c>
      <c r="F54" s="2">
        <f t="shared" si="55"/>
        <v>0.6454347764</v>
      </c>
      <c r="G54" s="2"/>
      <c r="H54" s="2"/>
      <c r="I54" s="2"/>
      <c r="J54" s="2"/>
      <c r="K54" s="10">
        <f t="shared" si="50"/>
        <v>0.002453197823</v>
      </c>
      <c r="L54" s="10">
        <f t="shared" si="51"/>
        <v>0.00004904588248</v>
      </c>
      <c r="M54" s="2">
        <f>0.318</f>
        <v>0.318</v>
      </c>
      <c r="N54" s="2">
        <f t="shared" si="52"/>
        <v>0.001</v>
      </c>
      <c r="O54" s="1">
        <v>14.02</v>
      </c>
      <c r="P54" s="1">
        <v>0.01</v>
      </c>
      <c r="Q54" s="10">
        <f t="shared" si="53"/>
        <v>0.02268188302</v>
      </c>
      <c r="R54" s="10">
        <f t="shared" si="54"/>
        <v>0.00008750490943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>
      <c r="A56" s="16" t="s">
        <v>64</v>
      </c>
      <c r="B56" s="17"/>
      <c r="C56" s="17"/>
      <c r="D56" s="17"/>
      <c r="E56" s="2"/>
      <c r="F56" s="2"/>
      <c r="G56" s="2"/>
      <c r="H56" s="2"/>
      <c r="I56" s="2"/>
      <c r="J56" s="2"/>
      <c r="K56" s="2"/>
      <c r="L56" s="2"/>
      <c r="M56" s="2"/>
      <c r="N56" s="2"/>
      <c r="O56" s="1" t="s">
        <v>65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>
      <c r="A57" s="4" t="s">
        <v>25</v>
      </c>
      <c r="B57" s="9" t="s">
        <v>4</v>
      </c>
      <c r="C57" s="4" t="s">
        <v>59</v>
      </c>
      <c r="D57" s="9" t="s">
        <v>4</v>
      </c>
      <c r="E57" s="1"/>
      <c r="F57" s="1"/>
      <c r="G57" s="1"/>
      <c r="H57" s="1"/>
      <c r="I57" s="4" t="s">
        <v>7</v>
      </c>
      <c r="J57" s="5" t="s">
        <v>4</v>
      </c>
      <c r="K57" s="11" t="s">
        <v>66</v>
      </c>
      <c r="L57" s="5" t="s">
        <v>4</v>
      </c>
      <c r="M57" s="4" t="s">
        <v>9</v>
      </c>
      <c r="N57" s="5" t="s">
        <v>4</v>
      </c>
      <c r="O57" s="4" t="s">
        <v>6</v>
      </c>
      <c r="P57" s="5" t="s">
        <v>4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>
      <c r="A58" s="1">
        <v>0.5</v>
      </c>
      <c r="B58" s="2"/>
      <c r="C58" s="1">
        <v>1000.0</v>
      </c>
      <c r="D58" s="2"/>
      <c r="E58" s="2"/>
      <c r="F58" s="2"/>
      <c r="G58" s="2"/>
      <c r="H58" s="2"/>
      <c r="I58" s="1">
        <v>46.9</v>
      </c>
      <c r="J58" s="1">
        <v>0.1</v>
      </c>
      <c r="K58" s="2">
        <f>(2*A3*C58)/(A58*(1-A58)^2)</f>
        <v>227.2</v>
      </c>
      <c r="L58" s="2"/>
      <c r="M58" s="1">
        <v>8.0</v>
      </c>
      <c r="N58" s="2"/>
      <c r="O58" s="1">
        <f>A3</f>
        <v>0.0142</v>
      </c>
      <c r="P58" s="2">
        <f>0.1*0.001</f>
        <v>0.0001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>
      <c r="A60" s="2"/>
      <c r="B60" s="2"/>
      <c r="C60" s="2"/>
      <c r="D60" s="2"/>
      <c r="E60" s="1"/>
      <c r="F60" s="1"/>
      <c r="G60" s="1"/>
      <c r="H60" s="1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>
      <c r="A61" s="4" t="s">
        <v>67</v>
      </c>
      <c r="B61" s="9" t="s">
        <v>4</v>
      </c>
      <c r="C61" s="4" t="s">
        <v>68</v>
      </c>
      <c r="D61" s="9" t="s">
        <v>4</v>
      </c>
      <c r="E61" s="4"/>
      <c r="F61" s="4"/>
      <c r="G61" s="4"/>
      <c r="H61" s="4"/>
      <c r="I61" s="4"/>
      <c r="J61" s="4"/>
      <c r="K61" s="4" t="s">
        <v>69</v>
      </c>
      <c r="L61" s="9" t="s">
        <v>4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>
      <c r="A62" s="2">
        <f t="shared" ref="A62:B62" si="56">1.5*K58</f>
        <v>340.8</v>
      </c>
      <c r="B62" s="2">
        <f t="shared" si="56"/>
        <v>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  <c r="N62" s="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>
      <c r="A64" s="11" t="s">
        <v>70</v>
      </c>
      <c r="B64" s="9" t="s">
        <v>4</v>
      </c>
      <c r="C64" s="11" t="s">
        <v>71</v>
      </c>
      <c r="D64" s="9" t="s">
        <v>4</v>
      </c>
      <c r="E64" s="4"/>
      <c r="F64" s="4"/>
      <c r="G64" s="4"/>
      <c r="H64" s="4"/>
      <c r="I64" s="4"/>
      <c r="J64" s="4"/>
      <c r="K64" s="4" t="s">
        <v>34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>
      <c r="A67" s="4" t="s">
        <v>28</v>
      </c>
      <c r="B67" s="9" t="s">
        <v>4</v>
      </c>
      <c r="C67" s="4" t="s">
        <v>72</v>
      </c>
      <c r="D67" s="9" t="s">
        <v>4</v>
      </c>
      <c r="E67" s="4" t="s">
        <v>73</v>
      </c>
      <c r="F67" s="9" t="s">
        <v>4</v>
      </c>
      <c r="G67" s="4" t="s">
        <v>29</v>
      </c>
      <c r="H67" s="9" t="s">
        <v>4</v>
      </c>
      <c r="I67" s="4" t="s">
        <v>45</v>
      </c>
      <c r="J67" s="9" t="s">
        <v>4</v>
      </c>
      <c r="K67" s="4" t="s">
        <v>74</v>
      </c>
      <c r="L67" s="9" t="s">
        <v>4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>
      <c r="A68" s="2">
        <f>0.00778</f>
        <v>0.00778</v>
      </c>
      <c r="B68" s="2">
        <f>0.0005</f>
        <v>0.0005</v>
      </c>
      <c r="C68" s="2">
        <f>0.0049</f>
        <v>0.0049</v>
      </c>
      <c r="D68" s="2">
        <f>0.0005</f>
        <v>0.0005</v>
      </c>
      <c r="E68" s="2">
        <f>0.00256</f>
        <v>0.00256</v>
      </c>
      <c r="F68" s="2">
        <f>0.0005</f>
        <v>0.0005</v>
      </c>
      <c r="G68" s="2">
        <f>A68+C68+E68</f>
        <v>0.01524</v>
      </c>
      <c r="H68" s="2">
        <f>0.0005</f>
        <v>0.0005</v>
      </c>
      <c r="I68" s="1">
        <v>16.02</v>
      </c>
      <c r="J68" s="1">
        <v>0.01</v>
      </c>
      <c r="K68" s="1">
        <v>7.6</v>
      </c>
      <c r="L68" s="1">
        <v>0.1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>
      <c r="A69" s="4" t="s">
        <v>75</v>
      </c>
      <c r="B69" s="9" t="s">
        <v>4</v>
      </c>
      <c r="C69" s="4" t="s">
        <v>75</v>
      </c>
      <c r="D69" s="9" t="s">
        <v>4</v>
      </c>
      <c r="E69" s="4" t="s">
        <v>75</v>
      </c>
      <c r="F69" s="9" t="s">
        <v>4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>
      <c r="A70" s="1">
        <v>0.0</v>
      </c>
      <c r="B70" s="1">
        <v>0.01</v>
      </c>
      <c r="C70" s="1">
        <v>17.6</v>
      </c>
      <c r="D70" s="1">
        <v>0.01</v>
      </c>
      <c r="E70" s="1">
        <v>7.85</v>
      </c>
      <c r="F70" s="1">
        <v>0.01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>
      <c r="A71" s="4" t="s">
        <v>76</v>
      </c>
      <c r="B71" s="9" t="s">
        <v>4</v>
      </c>
      <c r="C71" s="4" t="s">
        <v>77</v>
      </c>
      <c r="D71" s="9" t="s">
        <v>4</v>
      </c>
      <c r="E71" s="4" t="s">
        <v>78</v>
      </c>
      <c r="F71" s="9" t="s">
        <v>4</v>
      </c>
      <c r="G71" s="4" t="s">
        <v>79</v>
      </c>
      <c r="H71" s="9" t="s">
        <v>4</v>
      </c>
      <c r="I71" s="4" t="s">
        <v>25</v>
      </c>
      <c r="J71" s="9" t="s">
        <v>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>
      <c r="A72" s="10">
        <f>A3/(A68*C3)+SQRT((A3/(A68*C3))^2+(2*A3)/(C3*G68))</f>
        <v>0.2420135842</v>
      </c>
      <c r="B72" s="10">
        <f>A78+B78+C78+D78</f>
        <v>0.01910157319</v>
      </c>
      <c r="C72" s="2">
        <f>((A68+C68)/C68)*K68</f>
        <v>19.66693878</v>
      </c>
      <c r="D72" s="2">
        <f>(B68*K68)/C68+(A68*D68*K68)/C68^2+(A68/C68+1)*L68</f>
        <v>2.265605998</v>
      </c>
      <c r="E72" s="10">
        <f>C68/G68</f>
        <v>0.3215223097</v>
      </c>
      <c r="F72" s="10">
        <f>D68/G68+(H68*C68)/G68^2</f>
        <v>0.04335703116</v>
      </c>
      <c r="G72" s="1">
        <v>64.0</v>
      </c>
      <c r="H72" s="1">
        <v>1.0</v>
      </c>
      <c r="I72" s="10">
        <f>A68/G68</f>
        <v>0.5104986877</v>
      </c>
      <c r="J72" s="10">
        <f>B68/G68+(H68*A68)/G68^2</f>
        <v>0.04955704356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>
      <c r="A74" s="8" t="s">
        <v>80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>
      <c r="A75" s="1" t="s">
        <v>81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>
      <c r="A76" s="1">
        <v>1.0</v>
      </c>
      <c r="B76" s="1">
        <v>2.0</v>
      </c>
      <c r="C76" s="1">
        <v>3.0</v>
      </c>
      <c r="D76" s="1">
        <v>4.0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>
      <c r="A77" s="2">
        <f>((2*O58)/(I58^2*A68^2)+2/(I58*G68))/(2*SQRT(O58^2/(I58^2*G68^2)))+1/(I58*G68)</f>
        <v>77.19011372</v>
      </c>
      <c r="B77" s="2">
        <f>(2*O58^2)/(I58^3*G68^2)+((2*O58)/(I58^2*G68))/(2*SQRT(O58^2/(I58^2*G68^2)+(2*O58)/(I58*G68)))+O58/(I58^2*G68)</f>
        <v>0.002555046743</v>
      </c>
      <c r="C77" s="2">
        <f>O58/(I58*G68^2*SQRT((O58*(O58*G68+2*I58*A68^2))/(I58^2*G68*A68^2)))</f>
        <v>6.418629199</v>
      </c>
      <c r="D77" s="2">
        <f>O58^2/(I58^2*C68^3*SQRT(O58^2/(I58^2*C68^2)+(2*O58)/(I58*G68)))+O58/(I58*C68^2)</f>
        <v>16.34393939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>
      <c r="A78" s="2">
        <f>A77*P58</f>
        <v>0.007719011372</v>
      </c>
      <c r="B78" s="2">
        <f>B77*B68</f>
        <v>0.000001277523371</v>
      </c>
      <c r="C78" s="2">
        <f>C77*H68</f>
        <v>0.0032093146</v>
      </c>
      <c r="D78" s="2">
        <f>D77*B68</f>
        <v>0.008171969697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</sheetData>
  <drawing r:id="rId1"/>
</worksheet>
</file>