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5.xml" ContentType="application/vnd.openxmlformats-officedocument.drawing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drawings/drawing9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3.xml" ContentType="application/vnd.openxmlformats-officedocument.drawing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drawings/drawing14.xml" ContentType="application/vnd.openxmlformats-officedocument.drawing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drawings/drawing15.xml" ContentType="application/vnd.openxmlformats-officedocument.drawing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charts/chart20.xml" ContentType="application/vnd.openxmlformats-officedocument.drawingml.chart+xml"/>
  <Override PartName="/xl/comments8.xml" ContentType="application/vnd.openxmlformats-officedocument.spreadsheetml.comments+xml"/>
  <Override PartName="/xl/threadedComments/threadedComment8.xml" ContentType="application/vnd.ms-excel.threadedcomments+xml"/>
  <Override PartName="/xl/comments9.xml" ContentType="application/vnd.openxmlformats-officedocument.spreadsheetml.comments+xml"/>
  <Override PartName="/xl/threadedComments/threadedComment9.xml" ContentType="application/vnd.ms-excel.threadedcomments+xml"/>
  <Override PartName="/xl/comments10.xml" ContentType="application/vnd.openxmlformats-officedocument.spreadsheetml.comments+xml"/>
  <Override PartName="/xl/threadedComments/threadedComment10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fPack\Documents\Wake Tech\MAT 152 Stats\"/>
    </mc:Choice>
  </mc:AlternateContent>
  <xr:revisionPtr revIDLastSave="0" documentId="13_ncr:1_{D1B92479-3BE2-4964-8263-2687F84F7B29}" xr6:coauthVersionLast="46" xr6:coauthVersionMax="46" xr10:uidLastSave="{00000000-0000-0000-0000-000000000000}"/>
  <bookViews>
    <workbookView xWindow="3560" yWindow="3520" windowWidth="14400" windowHeight="7360" tabRatio="889" firstSheet="1" activeTab="3" xr2:uid="{7CB5E8F4-D4E9-4EB6-A13C-477BE08C6500}"/>
  </bookViews>
  <sheets>
    <sheet name="#of classes&amp;bin width" sheetId="25" r:id="rId1"/>
    <sheet name="Unit 2 template" sheetId="4" r:id="rId2"/>
    <sheet name="Final" sheetId="27" r:id="rId3"/>
    <sheet name="Unit 3 master sheet" sheetId="2" r:id="rId4"/>
    <sheet name="Hypothesis testing" sheetId="6" r:id="rId5"/>
    <sheet name="hypothesis test and 2 samples" sheetId="10" r:id="rId6"/>
    <sheet name="Sheet1" sheetId="8" r:id="rId7"/>
    <sheet name="inference from 2 samples" sheetId="7" r:id="rId8"/>
    <sheet name="Unit 3 master sheet Beta" sheetId="5" r:id="rId9"/>
    <sheet name="Quiz Ch8_9" sheetId="9" r:id="rId10"/>
    <sheet name="crit Val Corr" sheetId="11" r:id="rId11"/>
    <sheet name="Ch 10 quiz" sheetId="12" r:id="rId12"/>
    <sheet name="Hw 10.1 " sheetId="13" r:id="rId13"/>
    <sheet name="Sheet13" sheetId="26" r:id="rId14"/>
    <sheet name="Hw 10.2 " sheetId="14" r:id="rId15"/>
    <sheet name="GPA" sheetId="15" r:id="rId16"/>
    <sheet name="CH2 Histogram" sheetId="18" r:id="rId17"/>
    <sheet name="Quiz Ch5" sheetId="16" r:id="rId18"/>
    <sheet name="Ch 6" sheetId="17" r:id="rId19"/>
    <sheet name="Boards w_o Defects" sheetId="19" r:id="rId20"/>
    <sheet name="Binom .dist.range prac." sheetId="20" r:id="rId21"/>
    <sheet name="180 trials of boards" sheetId="21" r:id="rId22"/>
    <sheet name="p(x)~xp(x)~" sheetId="22" r:id="rId23"/>
    <sheet name="psychic test" sheetId="23" r:id="rId24"/>
    <sheet name="random number generator" sheetId="24" r:id="rId25"/>
  </sheets>
  <externalReferences>
    <externalReference r:id="rId26"/>
    <externalReference r:id="rId27"/>
    <externalReference r:id="rId2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4" l="1"/>
  <c r="C55" i="27"/>
  <c r="C50" i="27"/>
  <c r="C48" i="27"/>
  <c r="E51" i="27"/>
  <c r="D51" i="27"/>
  <c r="A51" i="27"/>
  <c r="B51" i="27"/>
  <c r="E49" i="27"/>
  <c r="B49" i="27"/>
  <c r="D49" i="27"/>
  <c r="A49" i="27"/>
  <c r="B37" i="27"/>
  <c r="C37" i="27" s="1"/>
  <c r="C32" i="27"/>
  <c r="C33" i="27"/>
  <c r="A19" i="27"/>
  <c r="B15" i="27"/>
  <c r="D15" i="27" s="1"/>
  <c r="F8" i="27"/>
  <c r="F10" i="27"/>
  <c r="E10" i="27"/>
  <c r="F9" i="27"/>
  <c r="E9" i="27"/>
  <c r="E8" i="27"/>
  <c r="B5" i="27"/>
  <c r="D4" i="4"/>
  <c r="B43" i="4"/>
  <c r="B42" i="4"/>
  <c r="A2" i="26"/>
  <c r="A1" i="26" l="1"/>
  <c r="E15" i="4"/>
  <c r="E14" i="4"/>
  <c r="E13" i="4"/>
  <c r="D2" i="25"/>
  <c r="D3" i="25" s="1"/>
  <c r="E1" i="25"/>
  <c r="A40" i="24" l="1"/>
  <c r="A39" i="24"/>
  <c r="A38" i="24"/>
  <c r="A37" i="24"/>
  <c r="A36" i="24"/>
  <c r="A35" i="24"/>
  <c r="A34" i="24"/>
  <c r="A33" i="24"/>
  <c r="A32" i="24"/>
  <c r="A31" i="24"/>
  <c r="A30" i="24"/>
  <c r="A29" i="24"/>
  <c r="A28" i="24"/>
  <c r="A27" i="24"/>
  <c r="A26" i="24"/>
  <c r="A25" i="24"/>
  <c r="A24" i="24"/>
  <c r="A23" i="24"/>
  <c r="A22" i="24"/>
  <c r="A21" i="24"/>
  <c r="A20" i="24"/>
  <c r="A19" i="24"/>
  <c r="A18" i="24"/>
  <c r="A17" i="24"/>
  <c r="A16" i="24"/>
  <c r="A15" i="24"/>
  <c r="A14" i="24"/>
  <c r="A13" i="24"/>
  <c r="G12" i="24"/>
  <c r="A12" i="24"/>
  <c r="G11" i="24"/>
  <c r="A11" i="24"/>
  <c r="H10" i="24"/>
  <c r="G10" i="24"/>
  <c r="G15" i="24" s="1"/>
  <c r="A10" i="24"/>
  <c r="A9" i="24"/>
  <c r="G8" i="24"/>
  <c r="G3" i="24" s="1"/>
  <c r="A8" i="24"/>
  <c r="A7" i="24"/>
  <c r="A6" i="24"/>
  <c r="A5" i="24"/>
  <c r="A4" i="24"/>
  <c r="A3" i="24"/>
  <c r="H2" i="24"/>
  <c r="G2" i="24"/>
  <c r="D2" i="24"/>
  <c r="G6" i="24" s="1"/>
  <c r="A2" i="24"/>
  <c r="D1" i="24"/>
  <c r="A1" i="24"/>
  <c r="K31" i="23"/>
  <c r="G31" i="23"/>
  <c r="K30" i="23"/>
  <c r="G30" i="23"/>
  <c r="K29" i="23"/>
  <c r="G29" i="23"/>
  <c r="K28" i="23"/>
  <c r="G28" i="23"/>
  <c r="K27" i="23"/>
  <c r="G27" i="23"/>
  <c r="K26" i="23"/>
  <c r="G26" i="23"/>
  <c r="K25" i="23"/>
  <c r="G25" i="23"/>
  <c r="K24" i="23"/>
  <c r="G24" i="23"/>
  <c r="K23" i="23"/>
  <c r="G23" i="23"/>
  <c r="K22" i="23"/>
  <c r="G22" i="23"/>
  <c r="K21" i="23"/>
  <c r="G21" i="23"/>
  <c r="K20" i="23"/>
  <c r="G20" i="23"/>
  <c r="K19" i="23"/>
  <c r="G19" i="23"/>
  <c r="K18" i="23"/>
  <c r="G18" i="23"/>
  <c r="K17" i="23"/>
  <c r="G17" i="23"/>
  <c r="O16" i="23"/>
  <c r="K16" i="23"/>
  <c r="G16" i="23"/>
  <c r="O15" i="23"/>
  <c r="K15" i="23"/>
  <c r="G15" i="23"/>
  <c r="B15" i="23"/>
  <c r="O14" i="23"/>
  <c r="K14" i="23"/>
  <c r="G14" i="23"/>
  <c r="B14" i="23"/>
  <c r="B16" i="23" s="1"/>
  <c r="O13" i="23"/>
  <c r="K13" i="23"/>
  <c r="G13" i="23"/>
  <c r="O12" i="23"/>
  <c r="K12" i="23"/>
  <c r="G12" i="23"/>
  <c r="C12" i="23"/>
  <c r="B12" i="23"/>
  <c r="O11" i="23"/>
  <c r="K11" i="23"/>
  <c r="G11" i="23"/>
  <c r="C11" i="23"/>
  <c r="B11" i="23"/>
  <c r="O10" i="23"/>
  <c r="K10" i="23"/>
  <c r="G10" i="23"/>
  <c r="C10" i="23"/>
  <c r="O9" i="23"/>
  <c r="K9" i="23"/>
  <c r="G9" i="23"/>
  <c r="O8" i="23"/>
  <c r="K8" i="23"/>
  <c r="G8" i="23"/>
  <c r="O7" i="23"/>
  <c r="K7" i="23"/>
  <c r="G7" i="23"/>
  <c r="O6" i="23"/>
  <c r="K6" i="23"/>
  <c r="G6" i="23"/>
  <c r="O5" i="23"/>
  <c r="K5" i="23"/>
  <c r="G5" i="23"/>
  <c r="O4" i="23"/>
  <c r="K4" i="23"/>
  <c r="G4" i="23"/>
  <c r="O3" i="23"/>
  <c r="K3" i="23"/>
  <c r="G3" i="23"/>
  <c r="B3" i="23"/>
  <c r="B4" i="23" s="1"/>
  <c r="O2" i="23"/>
  <c r="K2" i="23"/>
  <c r="G2" i="23"/>
  <c r="C6" i="23" s="1"/>
  <c r="C14" i="23" s="1"/>
  <c r="D2" i="23"/>
  <c r="C2" i="23"/>
  <c r="B2" i="23"/>
  <c r="E2" i="24" l="1"/>
  <c r="H6" i="24" s="1"/>
  <c r="E1" i="24"/>
  <c r="H8" i="24" s="1"/>
  <c r="H3" i="24" s="1"/>
  <c r="G13" i="24"/>
  <c r="G4" i="24"/>
  <c r="G14" i="24"/>
  <c r="B20" i="23"/>
  <c r="B17" i="23"/>
  <c r="D13" i="23"/>
  <c r="B18" i="23"/>
  <c r="B19" i="23" s="1" a="1"/>
  <c r="B19" i="23" s="1"/>
  <c r="B13" i="23"/>
  <c r="C15" i="23"/>
  <c r="C3" i="23"/>
  <c r="H11" i="24" l="1"/>
  <c r="H15" i="24"/>
  <c r="H12" i="24"/>
  <c r="H14" i="24"/>
  <c r="H18" i="24" s="1"/>
  <c r="H19" i="24" s="1" a="1"/>
  <c r="H19" i="24" s="1"/>
  <c r="G16" i="24"/>
  <c r="G18" i="24"/>
  <c r="G19" i="24" s="1" a="1"/>
  <c r="G19" i="24" s="1"/>
  <c r="H4" i="24"/>
  <c r="H13" i="24"/>
  <c r="C13" i="23"/>
  <c r="C4" i="23"/>
  <c r="H16" i="24" l="1"/>
  <c r="H20" i="24" s="1"/>
  <c r="G17" i="24"/>
  <c r="G20" i="24"/>
  <c r="D16" i="23"/>
  <c r="C16" i="23"/>
  <c r="C18" i="23"/>
  <c r="C19" i="23" s="1" a="1"/>
  <c r="C19" i="23" s="1"/>
  <c r="H17" i="24" l="1"/>
  <c r="C20" i="23"/>
  <c r="C17" i="23"/>
  <c r="I19" i="22" l="1"/>
  <c r="I18" i="22"/>
  <c r="I17" i="22"/>
  <c r="B17" i="22"/>
  <c r="C17" i="22" s="1"/>
  <c r="I16" i="22"/>
  <c r="B16" i="22"/>
  <c r="C16" i="22" s="1"/>
  <c r="I15" i="22"/>
  <c r="B15" i="22"/>
  <c r="C15" i="22" s="1"/>
  <c r="B14" i="22"/>
  <c r="C14" i="22" s="1"/>
  <c r="B13" i="22"/>
  <c r="C13" i="22" s="1"/>
  <c r="B12" i="22"/>
  <c r="C12" i="22" s="1"/>
  <c r="H11" i="22"/>
  <c r="C11" i="22"/>
  <c r="B11" i="22"/>
  <c r="C10" i="22"/>
  <c r="B10" i="22"/>
  <c r="B9" i="22"/>
  <c r="C9" i="22" s="1"/>
  <c r="B8" i="22"/>
  <c r="C8" i="22" s="1"/>
  <c r="K7" i="22"/>
  <c r="C7" i="22"/>
  <c r="B7" i="22"/>
  <c r="B6" i="22"/>
  <c r="C6" i="22" s="1"/>
  <c r="K5" i="22"/>
  <c r="C5" i="22"/>
  <c r="B5" i="22"/>
  <c r="K4" i="22"/>
  <c r="K8" i="22" s="1"/>
  <c r="B4" i="22"/>
  <c r="C4" i="22" s="1"/>
  <c r="N3" i="22"/>
  <c r="B3" i="22"/>
  <c r="C3" i="22" s="1"/>
  <c r="L2" i="22"/>
  <c r="I2" i="22" a="1"/>
  <c r="I2" i="22" s="1"/>
  <c r="B2" i="22"/>
  <c r="C2" i="22" s="1"/>
  <c r="I1" i="22"/>
  <c r="H1" i="22" a="1"/>
  <c r="H1" i="22" s="1"/>
  <c r="B183" i="21"/>
  <c r="C183" i="21" s="1"/>
  <c r="B182" i="21"/>
  <c r="C182" i="21" s="1"/>
  <c r="B181" i="21"/>
  <c r="C181" i="21" s="1"/>
  <c r="C180" i="21"/>
  <c r="B180" i="21"/>
  <c r="B179" i="21"/>
  <c r="C179" i="21" s="1"/>
  <c r="B178" i="21"/>
  <c r="C178" i="21" s="1"/>
  <c r="B177" i="21"/>
  <c r="C177" i="21" s="1"/>
  <c r="C176" i="21"/>
  <c r="B176" i="21"/>
  <c r="B175" i="21"/>
  <c r="C175" i="21" s="1"/>
  <c r="B174" i="21"/>
  <c r="C174" i="21" s="1"/>
  <c r="B173" i="21"/>
  <c r="C173" i="21" s="1"/>
  <c r="C172" i="21"/>
  <c r="B172" i="21"/>
  <c r="B171" i="21"/>
  <c r="C171" i="21" s="1"/>
  <c r="B170" i="21"/>
  <c r="C170" i="21" s="1"/>
  <c r="B169" i="21"/>
  <c r="C169" i="21" s="1"/>
  <c r="C168" i="21"/>
  <c r="B168" i="21"/>
  <c r="B167" i="21"/>
  <c r="C167" i="21" s="1"/>
  <c r="B166" i="21"/>
  <c r="C166" i="21" s="1"/>
  <c r="B165" i="21"/>
  <c r="C165" i="21" s="1"/>
  <c r="C164" i="21"/>
  <c r="B164" i="21"/>
  <c r="B163" i="21"/>
  <c r="C163" i="21" s="1"/>
  <c r="B162" i="21"/>
  <c r="C162" i="21" s="1"/>
  <c r="B161" i="21"/>
  <c r="C161" i="21" s="1"/>
  <c r="C160" i="21"/>
  <c r="B160" i="21"/>
  <c r="B159" i="21"/>
  <c r="C159" i="21" s="1"/>
  <c r="B158" i="21"/>
  <c r="C158" i="21" s="1"/>
  <c r="B157" i="21"/>
  <c r="C157" i="21" s="1"/>
  <c r="C156" i="21"/>
  <c r="B156" i="21"/>
  <c r="B155" i="21"/>
  <c r="C155" i="21" s="1"/>
  <c r="B154" i="21"/>
  <c r="C154" i="21" s="1"/>
  <c r="B153" i="21"/>
  <c r="C153" i="21" s="1"/>
  <c r="C152" i="21"/>
  <c r="B152" i="21"/>
  <c r="B151" i="21"/>
  <c r="C151" i="21" s="1"/>
  <c r="B150" i="21"/>
  <c r="C150" i="21" s="1"/>
  <c r="B149" i="21"/>
  <c r="C149" i="21" s="1"/>
  <c r="C148" i="21"/>
  <c r="B148" i="21"/>
  <c r="B147" i="21"/>
  <c r="C147" i="21" s="1"/>
  <c r="B146" i="21"/>
  <c r="C146" i="21" s="1"/>
  <c r="B145" i="21"/>
  <c r="C145" i="21" s="1"/>
  <c r="C144" i="21"/>
  <c r="B144" i="21"/>
  <c r="B143" i="21"/>
  <c r="C143" i="21" s="1"/>
  <c r="B142" i="21"/>
  <c r="C142" i="21" s="1"/>
  <c r="B141" i="21"/>
  <c r="C141" i="21" s="1"/>
  <c r="C140" i="21"/>
  <c r="B140" i="21"/>
  <c r="B139" i="21"/>
  <c r="C139" i="21" s="1"/>
  <c r="B138" i="21"/>
  <c r="C138" i="21" s="1"/>
  <c r="B137" i="21"/>
  <c r="C137" i="21" s="1"/>
  <c r="C136" i="21"/>
  <c r="B136" i="21"/>
  <c r="B135" i="21"/>
  <c r="C135" i="21" s="1"/>
  <c r="B134" i="21"/>
  <c r="C134" i="21" s="1"/>
  <c r="B133" i="21"/>
  <c r="C133" i="21" s="1"/>
  <c r="C132" i="21"/>
  <c r="B132" i="21"/>
  <c r="B131" i="21"/>
  <c r="C131" i="21" s="1"/>
  <c r="B130" i="21"/>
  <c r="C130" i="21" s="1"/>
  <c r="B129" i="21"/>
  <c r="C129" i="21" s="1"/>
  <c r="C128" i="21"/>
  <c r="B128" i="21"/>
  <c r="B127" i="21"/>
  <c r="C127" i="21" s="1"/>
  <c r="B126" i="21"/>
  <c r="C126" i="21" s="1"/>
  <c r="B125" i="21"/>
  <c r="C125" i="21" s="1"/>
  <c r="C124" i="21"/>
  <c r="B124" i="21"/>
  <c r="B123" i="21"/>
  <c r="C123" i="21" s="1"/>
  <c r="B122" i="21"/>
  <c r="C122" i="21" s="1"/>
  <c r="B121" i="21"/>
  <c r="C121" i="21" s="1"/>
  <c r="C120" i="21"/>
  <c r="B120" i="21"/>
  <c r="B119" i="21"/>
  <c r="C119" i="21" s="1"/>
  <c r="B118" i="21"/>
  <c r="C118" i="21" s="1"/>
  <c r="B117" i="21"/>
  <c r="C117" i="21" s="1"/>
  <c r="C116" i="21"/>
  <c r="B116" i="21"/>
  <c r="B115" i="21"/>
  <c r="C115" i="21" s="1"/>
  <c r="B114" i="21"/>
  <c r="C114" i="21" s="1"/>
  <c r="B113" i="21"/>
  <c r="C113" i="21" s="1"/>
  <c r="C112" i="21"/>
  <c r="B112" i="21"/>
  <c r="B111" i="21"/>
  <c r="C111" i="21" s="1"/>
  <c r="B110" i="21"/>
  <c r="C110" i="21" s="1"/>
  <c r="B109" i="21"/>
  <c r="C109" i="21" s="1"/>
  <c r="C108" i="21"/>
  <c r="B108" i="21"/>
  <c r="B107" i="21"/>
  <c r="C107" i="21" s="1"/>
  <c r="B106" i="21"/>
  <c r="C106" i="21" s="1"/>
  <c r="B105" i="21"/>
  <c r="C105" i="21" s="1"/>
  <c r="C104" i="21"/>
  <c r="B104" i="21"/>
  <c r="B103" i="21"/>
  <c r="C103" i="21" s="1"/>
  <c r="B102" i="21"/>
  <c r="C102" i="21" s="1"/>
  <c r="B101" i="21"/>
  <c r="C101" i="21" s="1"/>
  <c r="C100" i="21"/>
  <c r="B100" i="21"/>
  <c r="B99" i="21"/>
  <c r="C99" i="21" s="1"/>
  <c r="B98" i="21"/>
  <c r="C98" i="21" s="1"/>
  <c r="B97" i="21"/>
  <c r="C97" i="21" s="1"/>
  <c r="C96" i="21"/>
  <c r="B96" i="21"/>
  <c r="B95" i="21"/>
  <c r="C95" i="21" s="1"/>
  <c r="B94" i="21"/>
  <c r="C94" i="21" s="1"/>
  <c r="B93" i="21"/>
  <c r="C93" i="21" s="1"/>
  <c r="C92" i="21"/>
  <c r="B92" i="21"/>
  <c r="B91" i="21"/>
  <c r="C91" i="21" s="1"/>
  <c r="B90" i="21"/>
  <c r="C90" i="21" s="1"/>
  <c r="B89" i="21"/>
  <c r="C89" i="21" s="1"/>
  <c r="C88" i="21"/>
  <c r="B88" i="21"/>
  <c r="B87" i="21"/>
  <c r="C87" i="21" s="1"/>
  <c r="B86" i="21"/>
  <c r="C86" i="21" s="1"/>
  <c r="B85" i="21"/>
  <c r="C85" i="21" s="1"/>
  <c r="C84" i="21"/>
  <c r="B84" i="21"/>
  <c r="B83" i="21"/>
  <c r="C83" i="21" s="1"/>
  <c r="B82" i="21"/>
  <c r="C82" i="21" s="1"/>
  <c r="B81" i="21"/>
  <c r="C81" i="21" s="1"/>
  <c r="C80" i="21"/>
  <c r="B80" i="21"/>
  <c r="B79" i="21"/>
  <c r="C79" i="21" s="1"/>
  <c r="B78" i="21"/>
  <c r="C78" i="21" s="1"/>
  <c r="B77" i="21"/>
  <c r="C77" i="21" s="1"/>
  <c r="C76" i="21"/>
  <c r="B76" i="21"/>
  <c r="B75" i="21"/>
  <c r="C75" i="21" s="1"/>
  <c r="B74" i="21"/>
  <c r="C74" i="21" s="1"/>
  <c r="B73" i="21"/>
  <c r="C73" i="21" s="1"/>
  <c r="C72" i="21"/>
  <c r="B72" i="21"/>
  <c r="B71" i="21"/>
  <c r="C71" i="21" s="1"/>
  <c r="B70" i="21"/>
  <c r="C70" i="21" s="1"/>
  <c r="B69" i="21"/>
  <c r="C69" i="21" s="1"/>
  <c r="C68" i="21"/>
  <c r="B68" i="21"/>
  <c r="B67" i="21"/>
  <c r="C67" i="21" s="1"/>
  <c r="B66" i="21"/>
  <c r="C66" i="21" s="1"/>
  <c r="B65" i="21"/>
  <c r="C65" i="21" s="1"/>
  <c r="C64" i="21"/>
  <c r="B64" i="21"/>
  <c r="B63" i="21"/>
  <c r="C63" i="21" s="1"/>
  <c r="B62" i="21"/>
  <c r="C62" i="21" s="1"/>
  <c r="B61" i="21"/>
  <c r="C61" i="21" s="1"/>
  <c r="C60" i="21"/>
  <c r="B60" i="21"/>
  <c r="B59" i="21"/>
  <c r="C59" i="21" s="1"/>
  <c r="B58" i="21"/>
  <c r="C58" i="21" s="1"/>
  <c r="B57" i="21"/>
  <c r="C57" i="21" s="1"/>
  <c r="C56" i="21"/>
  <c r="B56" i="21"/>
  <c r="B55" i="21"/>
  <c r="C55" i="21" s="1"/>
  <c r="B54" i="21"/>
  <c r="C54" i="21" s="1"/>
  <c r="B53" i="21"/>
  <c r="C53" i="21" s="1"/>
  <c r="C52" i="21"/>
  <c r="B52" i="21"/>
  <c r="B51" i="21"/>
  <c r="C51" i="21" s="1"/>
  <c r="B50" i="21"/>
  <c r="C50" i="21" s="1"/>
  <c r="B49" i="21"/>
  <c r="C49" i="21" s="1"/>
  <c r="C48" i="21"/>
  <c r="B48" i="21"/>
  <c r="B47" i="21"/>
  <c r="C47" i="21" s="1"/>
  <c r="B46" i="21"/>
  <c r="C46" i="21" s="1"/>
  <c r="B45" i="21"/>
  <c r="C45" i="21" s="1"/>
  <c r="C44" i="21"/>
  <c r="B44" i="21"/>
  <c r="B43" i="21"/>
  <c r="C43" i="21" s="1"/>
  <c r="B42" i="21"/>
  <c r="C42" i="21" s="1"/>
  <c r="B41" i="21"/>
  <c r="C41" i="21" s="1"/>
  <c r="C40" i="21"/>
  <c r="B40" i="21"/>
  <c r="B39" i="21"/>
  <c r="C39" i="21" s="1"/>
  <c r="B38" i="21"/>
  <c r="C38" i="21" s="1"/>
  <c r="B37" i="21"/>
  <c r="C37" i="21" s="1"/>
  <c r="C36" i="21"/>
  <c r="B36" i="21"/>
  <c r="B35" i="21"/>
  <c r="C35" i="21" s="1"/>
  <c r="B34" i="21"/>
  <c r="C34" i="21" s="1"/>
  <c r="B33" i="21"/>
  <c r="C33" i="21" s="1"/>
  <c r="C32" i="21"/>
  <c r="B32" i="21"/>
  <c r="B31" i="21"/>
  <c r="C31" i="21" s="1"/>
  <c r="B30" i="21"/>
  <c r="C30" i="21" s="1"/>
  <c r="B29" i="21"/>
  <c r="C29" i="21" s="1"/>
  <c r="C28" i="21"/>
  <c r="B28" i="21"/>
  <c r="B27" i="21"/>
  <c r="C27" i="21" s="1"/>
  <c r="B26" i="21"/>
  <c r="C26" i="21" s="1"/>
  <c r="B25" i="21"/>
  <c r="C25" i="21" s="1"/>
  <c r="C24" i="21"/>
  <c r="B24" i="21"/>
  <c r="B23" i="21"/>
  <c r="C23" i="21" s="1"/>
  <c r="B22" i="21"/>
  <c r="C22" i="21" s="1"/>
  <c r="B21" i="21"/>
  <c r="C21" i="21" s="1"/>
  <c r="C20" i="21"/>
  <c r="B20" i="21"/>
  <c r="B19" i="21"/>
  <c r="C19" i="21" s="1"/>
  <c r="C18" i="21"/>
  <c r="B18" i="21"/>
  <c r="B17" i="21"/>
  <c r="C17" i="21" s="1"/>
  <c r="B16" i="21"/>
  <c r="C16" i="21" s="1"/>
  <c r="C15" i="21"/>
  <c r="B15" i="21"/>
  <c r="B14" i="21"/>
  <c r="C14" i="21" s="1"/>
  <c r="B13" i="21"/>
  <c r="C13" i="21" s="1"/>
  <c r="J12" i="21"/>
  <c r="B12" i="21"/>
  <c r="C12" i="21" s="1"/>
  <c r="J11" i="21"/>
  <c r="B11" i="21"/>
  <c r="C11" i="21" s="1"/>
  <c r="J10" i="21"/>
  <c r="B10" i="21"/>
  <c r="C10" i="21" s="1"/>
  <c r="K9" i="21"/>
  <c r="J9" i="21"/>
  <c r="B9" i="21"/>
  <c r="C9" i="21" s="1"/>
  <c r="J8" i="21"/>
  <c r="B8" i="21"/>
  <c r="C8" i="21" s="1"/>
  <c r="B7" i="21"/>
  <c r="C7" i="21" s="1"/>
  <c r="J6" i="21"/>
  <c r="B6" i="21"/>
  <c r="C6" i="21" s="1"/>
  <c r="J5" i="21"/>
  <c r="J7" i="21" s="1"/>
  <c r="B5" i="21"/>
  <c r="C5" i="21" s="1"/>
  <c r="B4" i="21"/>
  <c r="C4" i="21" s="1"/>
  <c r="L3" i="21"/>
  <c r="B3" i="21"/>
  <c r="C3" i="21" s="1"/>
  <c r="L2" i="21"/>
  <c r="B17" i="20"/>
  <c r="B12" i="20"/>
  <c r="B11" i="20"/>
  <c r="B14" i="20" s="1"/>
  <c r="B15" i="20" s="1"/>
  <c r="F9" i="20"/>
  <c r="D9" i="20"/>
  <c r="F8" i="20"/>
  <c r="D8" i="20"/>
  <c r="G7" i="20"/>
  <c r="D7" i="20"/>
  <c r="C7" i="20"/>
  <c r="B4" i="20"/>
  <c r="B18" i="20" s="1"/>
  <c r="B39" i="19"/>
  <c r="A39" i="19"/>
  <c r="A38" i="19"/>
  <c r="B38" i="19" s="1"/>
  <c r="F37" i="19"/>
  <c r="A37" i="19"/>
  <c r="B37" i="19" s="1"/>
  <c r="F36" i="19"/>
  <c r="F35" i="19"/>
  <c r="F41" i="19" s="1"/>
  <c r="F34" i="19"/>
  <c r="C34" i="19"/>
  <c r="C33" i="19"/>
  <c r="B33" i="19"/>
  <c r="G32" i="19"/>
  <c r="B32" i="19"/>
  <c r="D31" i="19"/>
  <c r="B31" i="19"/>
  <c r="D30" i="19"/>
  <c r="B30" i="19"/>
  <c r="B34" i="19" s="1"/>
  <c r="D29" i="19"/>
  <c r="B29" i="19"/>
  <c r="F24" i="19"/>
  <c r="F23" i="19"/>
  <c r="D23" i="19"/>
  <c r="B23" i="19"/>
  <c r="F22" i="19"/>
  <c r="F25" i="19" s="1"/>
  <c r="F28" i="19" s="1"/>
  <c r="D22" i="19"/>
  <c r="D24" i="19" s="1"/>
  <c r="B22" i="19"/>
  <c r="H3" i="19" s="1"/>
  <c r="G19" i="19"/>
  <c r="B17" i="19"/>
  <c r="C17" i="19" s="1"/>
  <c r="B16" i="19"/>
  <c r="C16" i="19" s="1"/>
  <c r="B15" i="19"/>
  <c r="C15" i="19" s="1"/>
  <c r="B14" i="19"/>
  <c r="C14" i="19" s="1"/>
  <c r="B13" i="19"/>
  <c r="C13" i="19" s="1"/>
  <c r="B12" i="19"/>
  <c r="C12" i="19" s="1"/>
  <c r="B11" i="19"/>
  <c r="C11" i="19" s="1"/>
  <c r="B10" i="19"/>
  <c r="C10" i="19" s="1"/>
  <c r="B9" i="19"/>
  <c r="C9" i="19" s="1"/>
  <c r="B8" i="19"/>
  <c r="C8" i="19" s="1"/>
  <c r="B7" i="19"/>
  <c r="C7" i="19" s="1"/>
  <c r="B6" i="19"/>
  <c r="C6" i="19" s="1"/>
  <c r="B5" i="19"/>
  <c r="C5" i="19" s="1"/>
  <c r="B4" i="19"/>
  <c r="C4" i="19" s="1"/>
  <c r="C3" i="19"/>
  <c r="B3" i="19"/>
  <c r="B2" i="19"/>
  <c r="C2" i="19" s="1"/>
  <c r="D6" i="22" l="1"/>
  <c r="D5" i="22"/>
  <c r="C18" i="22"/>
  <c r="K9" i="22"/>
  <c r="K6" i="22"/>
  <c r="N4" i="22" s="1"/>
  <c r="M16" i="22" s="1"/>
  <c r="K10" i="22"/>
  <c r="N8" i="22"/>
  <c r="N10" i="22"/>
  <c r="N9" i="22"/>
  <c r="N7" i="22"/>
  <c r="N12" i="22"/>
  <c r="N13" i="22"/>
  <c r="C184" i="21"/>
  <c r="D6" i="21"/>
  <c r="B16" i="20"/>
  <c r="B13" i="20"/>
  <c r="C18" i="19"/>
  <c r="D5" i="19"/>
  <c r="F29" i="19"/>
  <c r="F39" i="19"/>
  <c r="B25" i="19"/>
  <c r="B26" i="19" s="1"/>
  <c r="F27" i="19"/>
  <c r="B24" i="19"/>
  <c r="D25" i="19"/>
  <c r="D26" i="19" s="1"/>
  <c r="F26" i="19"/>
  <c r="F38" i="19"/>
  <c r="F40" i="19"/>
  <c r="E17" i="22" l="1"/>
  <c r="E9" i="22"/>
  <c r="E4" i="22"/>
  <c r="E3" i="22"/>
  <c r="E2" i="22"/>
  <c r="E7" i="22"/>
  <c r="E16" i="22"/>
  <c r="E15" i="22"/>
  <c r="E14" i="22"/>
  <c r="E13" i="22"/>
  <c r="E12" i="22"/>
  <c r="E8" i="22"/>
  <c r="E10" i="22"/>
  <c r="E6" i="22"/>
  <c r="E11" i="22"/>
  <c r="E5" i="22"/>
  <c r="N11" i="22"/>
  <c r="N6" i="22"/>
  <c r="M14" i="22"/>
  <c r="E182" i="21"/>
  <c r="E178" i="21"/>
  <c r="E174" i="21"/>
  <c r="E170" i="21"/>
  <c r="E166" i="21"/>
  <c r="E162" i="21"/>
  <c r="E158" i="21"/>
  <c r="E154" i="21"/>
  <c r="E150" i="21"/>
  <c r="E146" i="21"/>
  <c r="E142" i="21"/>
  <c r="E138" i="21"/>
  <c r="E134" i="21"/>
  <c r="E130" i="21"/>
  <c r="E126" i="21"/>
  <c r="E122" i="21"/>
  <c r="E118" i="21"/>
  <c r="E114" i="21"/>
  <c r="E110" i="21"/>
  <c r="E106" i="21"/>
  <c r="E102" i="21"/>
  <c r="E98" i="21"/>
  <c r="E94" i="21"/>
  <c r="E90" i="21"/>
  <c r="E86" i="21"/>
  <c r="E82" i="21"/>
  <c r="E78" i="21"/>
  <c r="E74" i="21"/>
  <c r="E70" i="21"/>
  <c r="E66" i="21"/>
  <c r="E62" i="21"/>
  <c r="E58" i="21"/>
  <c r="E54" i="21"/>
  <c r="E50" i="21"/>
  <c r="E46" i="21"/>
  <c r="E42" i="21"/>
  <c r="E38" i="21"/>
  <c r="E34" i="21"/>
  <c r="E30" i="21"/>
  <c r="E26" i="21"/>
  <c r="E22" i="21"/>
  <c r="E18" i="21"/>
  <c r="E183" i="21"/>
  <c r="E179" i="21"/>
  <c r="E175" i="21"/>
  <c r="E171" i="21"/>
  <c r="E167" i="21"/>
  <c r="E163" i="21"/>
  <c r="E159" i="21"/>
  <c r="E155" i="21"/>
  <c r="E151" i="21"/>
  <c r="E147" i="21"/>
  <c r="E143" i="21"/>
  <c r="E139" i="21"/>
  <c r="E135" i="21"/>
  <c r="E131" i="21"/>
  <c r="E127" i="21"/>
  <c r="E123" i="21"/>
  <c r="E119" i="21"/>
  <c r="E115" i="21"/>
  <c r="E111" i="21"/>
  <c r="E107" i="21"/>
  <c r="E103" i="21"/>
  <c r="E99" i="21"/>
  <c r="E95" i="21"/>
  <c r="E91" i="21"/>
  <c r="E87" i="21"/>
  <c r="E83" i="21"/>
  <c r="E79" i="21"/>
  <c r="E75" i="21"/>
  <c r="E71" i="21"/>
  <c r="E67" i="21"/>
  <c r="E63" i="21"/>
  <c r="E59" i="21"/>
  <c r="E55" i="21"/>
  <c r="E51" i="21"/>
  <c r="E47" i="21"/>
  <c r="E43" i="21"/>
  <c r="E39" i="21"/>
  <c r="E35" i="21"/>
  <c r="E31" i="21"/>
  <c r="E27" i="21"/>
  <c r="E23" i="21"/>
  <c r="E19" i="21"/>
  <c r="E13" i="21"/>
  <c r="E12" i="21"/>
  <c r="E11" i="21"/>
  <c r="E10" i="21"/>
  <c r="E5" i="21"/>
  <c r="E48" i="21"/>
  <c r="E44" i="21"/>
  <c r="E32" i="21"/>
  <c r="E24" i="21"/>
  <c r="E14" i="21"/>
  <c r="E9" i="21"/>
  <c r="E7" i="21"/>
  <c r="E177" i="21"/>
  <c r="E173" i="21"/>
  <c r="E161" i="21"/>
  <c r="E157" i="21"/>
  <c r="E149" i="21"/>
  <c r="E141" i="21"/>
  <c r="E133" i="21"/>
  <c r="E129" i="21"/>
  <c r="E117" i="21"/>
  <c r="E113" i="21"/>
  <c r="E105" i="21"/>
  <c r="E93" i="21"/>
  <c r="E81" i="21"/>
  <c r="E77" i="21"/>
  <c r="E65" i="21"/>
  <c r="E45" i="21"/>
  <c r="E33" i="21"/>
  <c r="E6" i="21"/>
  <c r="E4" i="21"/>
  <c r="E180" i="21"/>
  <c r="E176" i="21"/>
  <c r="E172" i="21"/>
  <c r="E168" i="21"/>
  <c r="E164" i="21"/>
  <c r="E160" i="21"/>
  <c r="E156" i="21"/>
  <c r="E152" i="21"/>
  <c r="E148" i="21"/>
  <c r="E144" i="21"/>
  <c r="E140" i="21"/>
  <c r="E136" i="21"/>
  <c r="E132" i="21"/>
  <c r="E128" i="21"/>
  <c r="E124" i="21"/>
  <c r="E120" i="21"/>
  <c r="E116" i="21"/>
  <c r="E112" i="21"/>
  <c r="E108" i="21"/>
  <c r="E104" i="21"/>
  <c r="E100" i="21"/>
  <c r="E96" i="21"/>
  <c r="E92" i="21"/>
  <c r="E88" i="21"/>
  <c r="E84" i="21"/>
  <c r="E80" i="21"/>
  <c r="E76" i="21"/>
  <c r="E72" i="21"/>
  <c r="E68" i="21"/>
  <c r="E64" i="21"/>
  <c r="E60" i="21"/>
  <c r="E56" i="21"/>
  <c r="E52" i="21"/>
  <c r="E40" i="21"/>
  <c r="E36" i="21"/>
  <c r="E28" i="21"/>
  <c r="E20" i="21"/>
  <c r="E17" i="21"/>
  <c r="E8" i="21"/>
  <c r="E3" i="21"/>
  <c r="E15" i="21"/>
  <c r="E181" i="21"/>
  <c r="E169" i="21"/>
  <c r="E165" i="21"/>
  <c r="E153" i="21"/>
  <c r="E145" i="21"/>
  <c r="E137" i="21"/>
  <c r="E125" i="21"/>
  <c r="E121" i="21"/>
  <c r="E109" i="21"/>
  <c r="E97" i="21"/>
  <c r="E89" i="21"/>
  <c r="E85" i="21"/>
  <c r="E73" i="21"/>
  <c r="E69" i="21"/>
  <c r="E61" i="21"/>
  <c r="E53" i="21"/>
  <c r="E37" i="21"/>
  <c r="E25" i="21"/>
  <c r="E16" i="21"/>
  <c r="E101" i="21"/>
  <c r="E57" i="21"/>
  <c r="E49" i="21"/>
  <c r="E41" i="21"/>
  <c r="E29" i="21"/>
  <c r="E21" i="21"/>
  <c r="E7" i="19"/>
  <c r="E6" i="19"/>
  <c r="G3" i="19" a="1"/>
  <c r="G3" i="19" s="1"/>
  <c r="E2" i="19"/>
  <c r="F16" i="19"/>
  <c r="F12" i="19"/>
  <c r="F9" i="19"/>
  <c r="E16" i="19"/>
  <c r="E14" i="19"/>
  <c r="E12" i="19"/>
  <c r="E10" i="19"/>
  <c r="E8" i="19"/>
  <c r="E4" i="19"/>
  <c r="F2" i="19"/>
  <c r="F5" i="19"/>
  <c r="F3" i="19"/>
  <c r="F17" i="19"/>
  <c r="F15" i="19"/>
  <c r="F14" i="19"/>
  <c r="F13" i="19"/>
  <c r="F11" i="19"/>
  <c r="F10" i="19"/>
  <c r="F8" i="19"/>
  <c r="E5" i="19"/>
  <c r="F4" i="19"/>
  <c r="E3" i="19"/>
  <c r="F7" i="19"/>
  <c r="E17" i="19"/>
  <c r="E15" i="19"/>
  <c r="E13" i="19"/>
  <c r="E11" i="19"/>
  <c r="E9" i="19"/>
  <c r="F6" i="19"/>
  <c r="B28" i="19"/>
  <c r="D27" i="19"/>
  <c r="D28" i="19"/>
  <c r="B27" i="19"/>
  <c r="F5" i="22" l="1"/>
  <c r="G5" i="22" s="1"/>
  <c r="F2" i="22"/>
  <c r="G2" i="22" s="1"/>
  <c r="F3" i="21"/>
  <c r="G3" i="21" s="1"/>
  <c r="F6" i="21"/>
  <c r="G6" i="21" s="1"/>
  <c r="G5" i="19"/>
  <c r="H5" i="19" s="1"/>
  <c r="H7" i="19"/>
  <c r="G2" i="19"/>
  <c r="H2" i="19" s="1"/>
  <c r="E46" i="18" l="1"/>
  <c r="E47" i="18" s="1"/>
  <c r="E48" i="18" s="1"/>
  <c r="E49" i="18" s="1"/>
  <c r="E27" i="18"/>
  <c r="E28" i="18" s="1"/>
  <c r="E29" i="18" s="1"/>
  <c r="E30" i="18" s="1"/>
  <c r="F8" i="18"/>
  <c r="F7" i="18"/>
  <c r="F6" i="18"/>
  <c r="F5" i="18"/>
  <c r="F4" i="18"/>
  <c r="C4" i="18"/>
  <c r="B83" i="17" l="1"/>
  <c r="B82" i="17"/>
  <c r="B81" i="17"/>
  <c r="B80" i="17"/>
  <c r="E79" i="17"/>
  <c r="B72" i="17"/>
  <c r="B71" i="17"/>
  <c r="B68" i="17" s="1"/>
  <c r="E69" i="17"/>
  <c r="E72" i="17" s="1"/>
  <c r="E73" i="17" s="1"/>
  <c r="B64" i="17"/>
  <c r="B62" i="17"/>
  <c r="B61" i="17"/>
  <c r="B60" i="17"/>
  <c r="B59" i="17"/>
  <c r="B58" i="17"/>
  <c r="B57" i="17"/>
  <c r="B56" i="17"/>
  <c r="B55" i="17"/>
  <c r="B54" i="17"/>
  <c r="D52" i="17"/>
  <c r="D64" i="17" s="1"/>
  <c r="E52" i="17" s="1"/>
  <c r="E64" i="17" s="1"/>
  <c r="C52" i="17"/>
  <c r="C64" i="17" s="1"/>
  <c r="F51" i="17"/>
  <c r="E51" i="17"/>
  <c r="E62" i="17" s="1"/>
  <c r="D51" i="17"/>
  <c r="D62" i="17" s="1"/>
  <c r="C51" i="17"/>
  <c r="C62" i="17" s="1"/>
  <c r="F50" i="17"/>
  <c r="F49" i="17"/>
  <c r="D45" i="17"/>
  <c r="C45" i="17"/>
  <c r="B45" i="17"/>
  <c r="D43" i="17"/>
  <c r="C43" i="17"/>
  <c r="B43" i="17"/>
  <c r="D42" i="17"/>
  <c r="C42" i="17"/>
  <c r="B42" i="17"/>
  <c r="D41" i="17"/>
  <c r="C41" i="17"/>
  <c r="B41" i="17"/>
  <c r="D40" i="17"/>
  <c r="C40" i="17"/>
  <c r="B40" i="17"/>
  <c r="D39" i="17"/>
  <c r="C39" i="17"/>
  <c r="B39" i="17"/>
  <c r="D38" i="17"/>
  <c r="C38" i="17"/>
  <c r="D37" i="17"/>
  <c r="C37" i="17"/>
  <c r="B37" i="17"/>
  <c r="D36" i="17"/>
  <c r="C36" i="17"/>
  <c r="D35" i="17"/>
  <c r="C35" i="17"/>
  <c r="B35" i="17"/>
  <c r="B30" i="17"/>
  <c r="B38" i="17" s="1"/>
  <c r="B25" i="17"/>
  <c r="B24" i="17"/>
  <c r="B21" i="17" s="1"/>
  <c r="E22" i="17"/>
  <c r="E25" i="17" s="1"/>
  <c r="E26" i="17" s="1"/>
  <c r="B20" i="17"/>
  <c r="B17" i="17"/>
  <c r="C5" i="17" s="1"/>
  <c r="B15" i="17"/>
  <c r="I14" i="17"/>
  <c r="B14" i="17"/>
  <c r="I13" i="17"/>
  <c r="B13" i="17"/>
  <c r="I12" i="17"/>
  <c r="D12" i="17"/>
  <c r="B12" i="17"/>
  <c r="I11" i="17"/>
  <c r="B11" i="17"/>
  <c r="I10" i="17"/>
  <c r="B10" i="17"/>
  <c r="I9" i="17"/>
  <c r="B9" i="17"/>
  <c r="I8" i="17"/>
  <c r="D8" i="17"/>
  <c r="B8" i="17"/>
  <c r="I7" i="17"/>
  <c r="B7" i="17"/>
  <c r="D5" i="17"/>
  <c r="D17" i="17" s="1"/>
  <c r="E5" i="17" s="1"/>
  <c r="E17" i="17" s="1"/>
  <c r="F4" i="17"/>
  <c r="E4" i="17"/>
  <c r="E14" i="17" s="1"/>
  <c r="D4" i="17"/>
  <c r="D15" i="17" s="1"/>
  <c r="C4" i="17"/>
  <c r="C15" i="17" s="1"/>
  <c r="F3" i="17"/>
  <c r="F2" i="17"/>
  <c r="C12" i="17" l="1"/>
  <c r="C8" i="17"/>
  <c r="C13" i="17"/>
  <c r="C17" i="17"/>
  <c r="C14" i="17"/>
  <c r="C10" i="17"/>
  <c r="C9" i="17"/>
  <c r="E15" i="17"/>
  <c r="B36" i="17"/>
  <c r="B67" i="17"/>
  <c r="C54" i="17"/>
  <c r="C55" i="17"/>
  <c r="C56" i="17"/>
  <c r="C57" i="17"/>
  <c r="C58" i="17"/>
  <c r="C59" i="17"/>
  <c r="C60" i="17"/>
  <c r="C61" i="17"/>
  <c r="E7" i="17"/>
  <c r="E8" i="17"/>
  <c r="D9" i="17"/>
  <c r="E12" i="17"/>
  <c r="D13" i="17"/>
  <c r="C7" i="17"/>
  <c r="E9" i="17"/>
  <c r="D10" i="17"/>
  <c r="C11" i="17"/>
  <c r="E13" i="17"/>
  <c r="D14" i="17"/>
  <c r="D54" i="17"/>
  <c r="D55" i="17"/>
  <c r="D56" i="17"/>
  <c r="D57" i="17"/>
  <c r="D58" i="17"/>
  <c r="D59" i="17"/>
  <c r="D60" i="17"/>
  <c r="D61" i="17"/>
  <c r="E11" i="17"/>
  <c r="D7" i="17"/>
  <c r="E10" i="17"/>
  <c r="D11" i="17"/>
  <c r="E54" i="17"/>
  <c r="E55" i="17"/>
  <c r="E56" i="17"/>
  <c r="E57" i="17"/>
  <c r="E58" i="17"/>
  <c r="E59" i="17"/>
  <c r="E60" i="17"/>
  <c r="E61" i="17"/>
  <c r="F100" i="16" l="1"/>
  <c r="D91" i="16"/>
  <c r="E91" i="16" s="1"/>
  <c r="C91" i="16"/>
  <c r="C90" i="16"/>
  <c r="D90" i="16" s="1"/>
  <c r="B90" i="16"/>
  <c r="A90" i="16"/>
  <c r="B85" i="16"/>
  <c r="E84" i="16" a="1"/>
  <c r="E84" i="16" s="1"/>
  <c r="B84" i="16"/>
  <c r="D83" i="16"/>
  <c r="F83" i="16" s="1"/>
  <c r="G83" i="16" s="1"/>
  <c r="B83" i="16"/>
  <c r="D82" i="16"/>
  <c r="F82" i="16" s="1"/>
  <c r="G82" i="16" s="1"/>
  <c r="B82" i="16"/>
  <c r="B81" i="16"/>
  <c r="D81" i="16" s="1"/>
  <c r="B75" i="16"/>
  <c r="B74" i="16"/>
  <c r="E69" i="16" s="1" a="1"/>
  <c r="E69" i="16" s="1"/>
  <c r="B73" i="16"/>
  <c r="B72" i="16"/>
  <c r="B71" i="16"/>
  <c r="D67" i="16" s="1"/>
  <c r="D69" i="16"/>
  <c r="B69" i="16"/>
  <c r="D68" i="16"/>
  <c r="F66" i="16"/>
  <c r="E66" i="16"/>
  <c r="F58" i="16"/>
  <c r="B58" i="16"/>
  <c r="F57" i="16"/>
  <c r="F59" i="16" s="1"/>
  <c r="F60" i="16" s="1"/>
  <c r="B57" i="16"/>
  <c r="B60" i="16" s="1"/>
  <c r="B61" i="16" s="1"/>
  <c r="B51" i="16"/>
  <c r="B50" i="16"/>
  <c r="B49" i="16"/>
  <c r="B48" i="16"/>
  <c r="B47" i="16"/>
  <c r="D43" i="16" s="1"/>
  <c r="B45" i="16"/>
  <c r="D44" i="16"/>
  <c r="F43" i="16"/>
  <c r="E43" i="16"/>
  <c r="F42" i="16"/>
  <c r="E42" i="16"/>
  <c r="B39" i="16"/>
  <c r="E36" i="16" s="1"/>
  <c r="E38" i="16"/>
  <c r="E37" i="16"/>
  <c r="C36" i="16"/>
  <c r="B32" i="16"/>
  <c r="E31" i="16"/>
  <c r="I30" i="16"/>
  <c r="I32" i="16" s="1"/>
  <c r="E30" i="16"/>
  <c r="E29" i="16"/>
  <c r="C29" i="16"/>
  <c r="I28" i="16"/>
  <c r="I25" i="16"/>
  <c r="I29" i="16" s="1"/>
  <c r="I35" i="16" s="1"/>
  <c r="B25" i="16"/>
  <c r="E23" i="16"/>
  <c r="F22" i="16"/>
  <c r="F18" i="16"/>
  <c r="D14" i="16"/>
  <c r="C14" i="16"/>
  <c r="D13" i="16"/>
  <c r="C13" i="16"/>
  <c r="D12" i="16"/>
  <c r="C12" i="16"/>
  <c r="D11" i="16"/>
  <c r="C11" i="16"/>
  <c r="E11" i="16" s="1"/>
  <c r="D10" i="16"/>
  <c r="C10" i="16"/>
  <c r="E10" i="16" s="1"/>
  <c r="F19" i="16" s="1"/>
  <c r="E9" i="16"/>
  <c r="D9" i="16"/>
  <c r="C9" i="16"/>
  <c r="D6" i="16"/>
  <c r="C6" i="16"/>
  <c r="M5" i="16"/>
  <c r="C5" i="16"/>
  <c r="M4" i="16"/>
  <c r="C4" i="16"/>
  <c r="M3" i="16"/>
  <c r="N5" i="16" s="1"/>
  <c r="C3" i="16"/>
  <c r="M2" i="16"/>
  <c r="C2" i="16"/>
  <c r="D5" i="16" s="1"/>
  <c r="O2" i="16" l="1"/>
  <c r="O3" i="16"/>
  <c r="O5" i="16"/>
  <c r="O4" i="16"/>
  <c r="B62" i="16"/>
  <c r="B92" i="16"/>
  <c r="E5" i="16"/>
  <c r="E4" i="16"/>
  <c r="E3" i="16"/>
  <c r="E2" i="16"/>
  <c r="F62" i="16"/>
  <c r="F61" i="16"/>
  <c r="B59" i="16"/>
  <c r="I31" i="16"/>
  <c r="E90" i="16"/>
  <c r="F2" i="16" l="1"/>
  <c r="G2" i="16" s="1"/>
  <c r="F5" i="16"/>
  <c r="G5" i="16" s="1"/>
  <c r="P2" i="16"/>
  <c r="Q2" i="16" s="1"/>
  <c r="P5" i="16"/>
  <c r="Q5" i="16" s="1"/>
  <c r="D2" i="15" l="1"/>
  <c r="D3" i="15"/>
  <c r="D4" i="15"/>
  <c r="C8" i="15" s="1"/>
  <c r="C10" i="15" s="1"/>
  <c r="D5" i="15"/>
  <c r="D6" i="15"/>
  <c r="C9" i="15"/>
  <c r="B43" i="14"/>
  <c r="B42" i="14"/>
  <c r="B32" i="14"/>
  <c r="B30" i="14"/>
  <c r="B20" i="14"/>
  <c r="B5" i="14"/>
  <c r="B4" i="14"/>
  <c r="B31" i="13"/>
  <c r="C30" i="13"/>
  <c r="B30" i="13"/>
  <c r="C28" i="13"/>
  <c r="C27" i="13"/>
  <c r="C26" i="13"/>
  <c r="C25" i="13"/>
  <c r="C24" i="13"/>
  <c r="C23" i="13"/>
  <c r="C22" i="13"/>
  <c r="C21" i="13"/>
  <c r="C20" i="13"/>
  <c r="C19" i="13"/>
  <c r="B14" i="13"/>
  <c r="C12" i="13"/>
  <c r="C11" i="13"/>
  <c r="C10" i="13"/>
  <c r="C9" i="13"/>
  <c r="C8" i="13"/>
  <c r="C7" i="13"/>
  <c r="C6" i="13"/>
  <c r="C5" i="13"/>
  <c r="C4" i="13"/>
  <c r="C3" i="13"/>
  <c r="C2" i="13"/>
  <c r="B96" i="12"/>
  <c r="D93" i="12"/>
  <c r="C93" i="12"/>
  <c r="D92" i="12"/>
  <c r="C92" i="12"/>
  <c r="D91" i="12"/>
  <c r="C91" i="12"/>
  <c r="D90" i="12"/>
  <c r="C90" i="12"/>
  <c r="D89" i="12"/>
  <c r="C89" i="12"/>
  <c r="D88" i="12"/>
  <c r="C88" i="12"/>
  <c r="D87" i="12"/>
  <c r="C87" i="12"/>
  <c r="D86" i="12"/>
  <c r="C86" i="12"/>
  <c r="D85" i="12"/>
  <c r="C85" i="12"/>
  <c r="D84" i="12"/>
  <c r="C84" i="12"/>
  <c r="A79" i="12"/>
  <c r="C77" i="12"/>
  <c r="C76" i="12"/>
  <c r="C75" i="12"/>
  <c r="C74" i="12"/>
  <c r="C73" i="12"/>
  <c r="C72" i="12"/>
  <c r="C71" i="12"/>
  <c r="C70" i="12"/>
  <c r="C67" i="12"/>
  <c r="C66" i="12"/>
  <c r="C65" i="12"/>
  <c r="C64" i="12"/>
  <c r="C63" i="12"/>
  <c r="C62" i="12"/>
  <c r="C61" i="12"/>
  <c r="C60" i="12"/>
  <c r="A17" i="12"/>
  <c r="B16" i="12"/>
  <c r="B15" i="12"/>
  <c r="K3" i="10" l="1"/>
  <c r="K11" i="10" s="1"/>
  <c r="L32" i="10"/>
  <c r="L23" i="10"/>
  <c r="B11" i="6"/>
  <c r="C9" i="2"/>
  <c r="B23" i="6"/>
  <c r="B24" i="6"/>
  <c r="L31" i="10"/>
  <c r="L30" i="10"/>
  <c r="L29" i="10"/>
  <c r="L28" i="10"/>
  <c r="L27" i="10"/>
  <c r="L26" i="10"/>
  <c r="L25" i="10"/>
  <c r="L24" i="10"/>
  <c r="G24" i="10"/>
  <c r="C24" i="10"/>
  <c r="G23" i="10"/>
  <c r="C23" i="10"/>
  <c r="G22" i="10"/>
  <c r="C22" i="10"/>
  <c r="F10" i="10" s="1"/>
  <c r="F3" i="10" s="1"/>
  <c r="E15" i="10"/>
  <c r="D15" i="10"/>
  <c r="C15" i="10"/>
  <c r="B15" i="10"/>
  <c r="E14" i="10"/>
  <c r="E18" i="10" s="1"/>
  <c r="E19" i="10" s="1"/>
  <c r="D14" i="10"/>
  <c r="C14" i="10"/>
  <c r="B14" i="10"/>
  <c r="F12" i="10"/>
  <c r="E12" i="10"/>
  <c r="D12" i="10"/>
  <c r="C12" i="10"/>
  <c r="B12" i="10"/>
  <c r="G11" i="10"/>
  <c r="F11" i="10"/>
  <c r="E11" i="10"/>
  <c r="D11" i="10"/>
  <c r="C11" i="10"/>
  <c r="B11" i="10"/>
  <c r="G10" i="10"/>
  <c r="G3" i="10" s="1"/>
  <c r="G8" i="10"/>
  <c r="G15" i="10" s="1"/>
  <c r="F8" i="10"/>
  <c r="R7" i="10"/>
  <c r="G6" i="10"/>
  <c r="F6" i="10"/>
  <c r="E3" i="10"/>
  <c r="E13" i="10" s="1"/>
  <c r="D3" i="10"/>
  <c r="D13" i="10" s="1"/>
  <c r="C3" i="10"/>
  <c r="C13" i="10" s="1"/>
  <c r="C16" i="10" s="1"/>
  <c r="C17" i="10" s="1"/>
  <c r="B3" i="10"/>
  <c r="G2" i="10"/>
  <c r="F2" i="10"/>
  <c r="E2" i="10"/>
  <c r="D2" i="10"/>
  <c r="C2" i="10"/>
  <c r="B2" i="10"/>
  <c r="K8" i="9"/>
  <c r="K7" i="9"/>
  <c r="K3" i="9"/>
  <c r="K11" i="9" s="1"/>
  <c r="L24" i="9"/>
  <c r="L25" i="9"/>
  <c r="L26" i="9"/>
  <c r="L27" i="9"/>
  <c r="L28" i="9"/>
  <c r="L29" i="9"/>
  <c r="L30" i="9"/>
  <c r="L31" i="9"/>
  <c r="L32" i="9"/>
  <c r="L33" i="9"/>
  <c r="L34" i="9"/>
  <c r="L35" i="9"/>
  <c r="L36" i="9"/>
  <c r="L37" i="9"/>
  <c r="L38" i="9"/>
  <c r="L39" i="9"/>
  <c r="L40" i="9"/>
  <c r="L41" i="9"/>
  <c r="L42" i="9"/>
  <c r="L43" i="9"/>
  <c r="L44" i="9"/>
  <c r="L45" i="9"/>
  <c r="L46" i="9"/>
  <c r="L47" i="9"/>
  <c r="L48" i="9"/>
  <c r="L49" i="9"/>
  <c r="L50" i="9"/>
  <c r="L51" i="9"/>
  <c r="L52" i="9"/>
  <c r="G23" i="9"/>
  <c r="G8" i="9" s="1"/>
  <c r="G22" i="9"/>
  <c r="G6" i="9" s="1"/>
  <c r="G24" i="9"/>
  <c r="G10" i="9" s="1"/>
  <c r="F8" i="9"/>
  <c r="C24" i="9"/>
  <c r="L23" i="9"/>
  <c r="C23" i="9"/>
  <c r="F6" i="9" s="1"/>
  <c r="C22" i="9"/>
  <c r="E15" i="9"/>
  <c r="D15" i="9"/>
  <c r="C15" i="9"/>
  <c r="B15" i="9"/>
  <c r="E14" i="9"/>
  <c r="D14" i="9"/>
  <c r="C14" i="9"/>
  <c r="B14" i="9"/>
  <c r="E12" i="9"/>
  <c r="D12" i="9"/>
  <c r="C12" i="9"/>
  <c r="B12" i="9"/>
  <c r="E11" i="9"/>
  <c r="D11" i="9"/>
  <c r="C11" i="9"/>
  <c r="B11" i="9"/>
  <c r="F10" i="9"/>
  <c r="F15" i="9" s="1"/>
  <c r="R7" i="9"/>
  <c r="E3" i="9"/>
  <c r="E4" i="9" s="1"/>
  <c r="D3" i="9"/>
  <c r="C3" i="9"/>
  <c r="B3" i="9"/>
  <c r="G2" i="9"/>
  <c r="F2" i="9"/>
  <c r="E2" i="9"/>
  <c r="D2" i="9"/>
  <c r="C2" i="9"/>
  <c r="B2" i="9"/>
  <c r="G15" i="6"/>
  <c r="G14" i="6"/>
  <c r="G12" i="6"/>
  <c r="G11" i="6"/>
  <c r="G4" i="6"/>
  <c r="G3" i="6"/>
  <c r="G13" i="6" s="1"/>
  <c r="G2" i="6"/>
  <c r="F15" i="6"/>
  <c r="F14" i="6"/>
  <c r="F12" i="6"/>
  <c r="F11" i="6"/>
  <c r="F3" i="6"/>
  <c r="F13" i="6" s="1"/>
  <c r="F2" i="6"/>
  <c r="E15" i="6"/>
  <c r="E14" i="6"/>
  <c r="E12" i="6"/>
  <c r="E11" i="6"/>
  <c r="E3" i="6"/>
  <c r="E2" i="6"/>
  <c r="D15" i="6"/>
  <c r="D14" i="6"/>
  <c r="D12" i="6"/>
  <c r="D11" i="6"/>
  <c r="D3" i="6"/>
  <c r="D2" i="6"/>
  <c r="O7" i="6"/>
  <c r="B2" i="6"/>
  <c r="D24" i="7"/>
  <c r="D25" i="7"/>
  <c r="D26" i="7"/>
  <c r="D27" i="7"/>
  <c r="D23" i="7"/>
  <c r="C2" i="6"/>
  <c r="C24" i="6"/>
  <c r="C23" i="6"/>
  <c r="C22" i="6"/>
  <c r="B13" i="10" l="1"/>
  <c r="J3" i="10"/>
  <c r="K7" i="10"/>
  <c r="K8" i="10"/>
  <c r="J8" i="10"/>
  <c r="C12" i="6"/>
  <c r="C14" i="6"/>
  <c r="C18" i="6" s="1"/>
  <c r="C3" i="6"/>
  <c r="C4" i="6" s="1"/>
  <c r="C15" i="6"/>
  <c r="C11" i="6"/>
  <c r="B18" i="10"/>
  <c r="B19" i="10" s="1" a="1"/>
  <c r="B19" i="10" s="1"/>
  <c r="C18" i="10"/>
  <c r="C19" i="10" s="1"/>
  <c r="B16" i="10"/>
  <c r="G13" i="10"/>
  <c r="G4" i="10"/>
  <c r="F13" i="10"/>
  <c r="F4" i="10"/>
  <c r="F15" i="10"/>
  <c r="D16" i="10"/>
  <c r="D18" i="10"/>
  <c r="D19" i="10" s="1" a="1"/>
  <c r="D19" i="10" s="1"/>
  <c r="B4" i="10"/>
  <c r="K6" i="10"/>
  <c r="G12" i="10"/>
  <c r="E16" i="10"/>
  <c r="K5" i="10"/>
  <c r="K17" i="10" s="1"/>
  <c r="K19" i="10" s="1"/>
  <c r="C4" i="10"/>
  <c r="J7" i="10"/>
  <c r="K9" i="10"/>
  <c r="F14" i="10"/>
  <c r="E4" i="10"/>
  <c r="D4" i="10"/>
  <c r="G14" i="10"/>
  <c r="B13" i="9"/>
  <c r="K5" i="9"/>
  <c r="K17" i="9" s="1"/>
  <c r="K19" i="9" s="1"/>
  <c r="K9" i="9"/>
  <c r="K6" i="9"/>
  <c r="J8" i="9"/>
  <c r="J7" i="9"/>
  <c r="J3" i="9"/>
  <c r="F3" i="9"/>
  <c r="F13" i="9" s="1"/>
  <c r="F14" i="9"/>
  <c r="F18" i="9" s="1"/>
  <c r="F19" i="9" s="1" a="1"/>
  <c r="F19" i="9" s="1"/>
  <c r="E13" i="9"/>
  <c r="E16" i="9" s="1"/>
  <c r="D13" i="9"/>
  <c r="C13" i="9"/>
  <c r="C16" i="9" s="1"/>
  <c r="C17" i="9" s="1"/>
  <c r="B4" i="9"/>
  <c r="D18" i="9"/>
  <c r="D19" i="9" s="1" a="1"/>
  <c r="D19" i="9" s="1"/>
  <c r="D16" i="9"/>
  <c r="G3" i="9"/>
  <c r="G14" i="9"/>
  <c r="G12" i="9"/>
  <c r="G11" i="9"/>
  <c r="G15" i="9"/>
  <c r="C18" i="9"/>
  <c r="C19" i="9" s="1"/>
  <c r="B16" i="9"/>
  <c r="B18" i="9"/>
  <c r="B19" i="9" s="1" a="1"/>
  <c r="B19" i="9" s="1"/>
  <c r="F11" i="9"/>
  <c r="F12" i="9"/>
  <c r="E18" i="9"/>
  <c r="E19" i="9" s="1"/>
  <c r="C4" i="9"/>
  <c r="D4" i="9"/>
  <c r="G16" i="6"/>
  <c r="G18" i="6"/>
  <c r="G19" i="6" s="1" a="1"/>
  <c r="G19" i="6" s="1"/>
  <c r="F4" i="6"/>
  <c r="F16" i="6"/>
  <c r="F18" i="6"/>
  <c r="F19" i="6" s="1" a="1"/>
  <c r="F19" i="6" s="1"/>
  <c r="E13" i="6"/>
  <c r="E16" i="6" s="1"/>
  <c r="E4" i="6"/>
  <c r="D13" i="6"/>
  <c r="D18" i="6" s="1"/>
  <c r="D19" i="6" s="1" a="1"/>
  <c r="D19" i="6" s="1"/>
  <c r="D4" i="6"/>
  <c r="C13" i="6"/>
  <c r="B8" i="7"/>
  <c r="B7" i="7"/>
  <c r="B3" i="7"/>
  <c r="K18" i="10" l="1"/>
  <c r="C16" i="6"/>
  <c r="C17" i="6" s="1"/>
  <c r="L11" i="10"/>
  <c r="J5" i="10"/>
  <c r="J17" i="10" s="1"/>
  <c r="J19" i="10" s="1"/>
  <c r="J6" i="10"/>
  <c r="J11" i="10"/>
  <c r="L5" i="10"/>
  <c r="K12" i="10"/>
  <c r="K14" i="10" s="1"/>
  <c r="K13" i="10"/>
  <c r="K15" i="10" s="1"/>
  <c r="K16" i="10"/>
  <c r="J9" i="10"/>
  <c r="D20" i="10"/>
  <c r="D17" i="10"/>
  <c r="G16" i="10"/>
  <c r="G18" i="10"/>
  <c r="G19" i="10" s="1" a="1"/>
  <c r="G19" i="10" s="1"/>
  <c r="E17" i="10"/>
  <c r="E20" i="10"/>
  <c r="B20" i="10"/>
  <c r="B17" i="10"/>
  <c r="F18" i="10"/>
  <c r="F19" i="10" s="1" a="1"/>
  <c r="F19" i="10" s="1"/>
  <c r="F16" i="10"/>
  <c r="K10" i="10"/>
  <c r="K18" i="9"/>
  <c r="J11" i="9"/>
  <c r="L5" i="9"/>
  <c r="L11" i="9"/>
  <c r="F4" i="9"/>
  <c r="K12" i="9"/>
  <c r="K14" i="9" s="1"/>
  <c r="K13" i="9"/>
  <c r="K15" i="9" s="1"/>
  <c r="K16" i="9"/>
  <c r="K10" i="9"/>
  <c r="J6" i="9"/>
  <c r="J5" i="9"/>
  <c r="J17" i="9" s="1"/>
  <c r="J19" i="9" s="1"/>
  <c r="J9" i="9"/>
  <c r="F16" i="9"/>
  <c r="F20" i="9" s="1"/>
  <c r="E17" i="9"/>
  <c r="E20" i="9"/>
  <c r="B17" i="9"/>
  <c r="B20" i="9"/>
  <c r="D20" i="9"/>
  <c r="D17" i="9"/>
  <c r="G13" i="9"/>
  <c r="G4" i="9"/>
  <c r="G18" i="9"/>
  <c r="G19" i="9" s="1" a="1"/>
  <c r="G19" i="9" s="1"/>
  <c r="G16" i="9"/>
  <c r="G20" i="6"/>
  <c r="G17" i="6"/>
  <c r="E18" i="6"/>
  <c r="E19" i="6" s="1" a="1"/>
  <c r="E19" i="6" s="1"/>
  <c r="F20" i="6"/>
  <c r="F17" i="6"/>
  <c r="D16" i="6"/>
  <c r="D17" i="6" s="1"/>
  <c r="E20" i="6"/>
  <c r="E17" i="6"/>
  <c r="C5" i="7"/>
  <c r="B6" i="7"/>
  <c r="C11" i="7"/>
  <c r="B5" i="7"/>
  <c r="B17" i="7" s="1"/>
  <c r="B18" i="7" s="1"/>
  <c r="B11" i="7"/>
  <c r="B10" i="7" s="1"/>
  <c r="B9" i="7"/>
  <c r="J10" i="10" l="1"/>
  <c r="J18" i="10"/>
  <c r="J13" i="10"/>
  <c r="J15" i="10" s="1"/>
  <c r="J12" i="10"/>
  <c r="J14" i="10" s="1"/>
  <c r="L13" i="10"/>
  <c r="J16" i="10"/>
  <c r="L12" i="10"/>
  <c r="G20" i="10"/>
  <c r="G17" i="10"/>
  <c r="L16" i="10"/>
  <c r="F17" i="10"/>
  <c r="F20" i="10"/>
  <c r="J13" i="9"/>
  <c r="J15" i="9" s="1"/>
  <c r="L13" i="9"/>
  <c r="L12" i="9"/>
  <c r="J10" i="9"/>
  <c r="J12" i="9"/>
  <c r="J14" i="9" s="1"/>
  <c r="J18" i="9"/>
  <c r="L16" i="9" s="1"/>
  <c r="J16" i="9"/>
  <c r="F17" i="9"/>
  <c r="G17" i="9"/>
  <c r="G20" i="9"/>
  <c r="D20" i="6"/>
  <c r="B19" i="7"/>
  <c r="C16" i="7"/>
  <c r="B12" i="7"/>
  <c r="B14" i="7" s="1"/>
  <c r="C13" i="7"/>
  <c r="B16" i="7"/>
  <c r="B13" i="7"/>
  <c r="B15" i="7" s="1"/>
  <c r="C12" i="7"/>
  <c r="B14" i="6"/>
  <c r="B12" i="6"/>
  <c r="B15" i="6"/>
  <c r="B3" i="6"/>
  <c r="B4" i="6" s="1"/>
  <c r="B13" i="6" l="1"/>
  <c r="B16" i="6" l="1"/>
  <c r="B17" i="6" s="1"/>
  <c r="C19" i="6"/>
  <c r="B18" i="6"/>
  <c r="B19" i="6" s="1" a="1"/>
  <c r="B19" i="6" s="1"/>
  <c r="B20" i="6" l="1"/>
  <c r="A23" i="2"/>
  <c r="D47" i="2" l="1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C26" i="2"/>
  <c r="B26" i="2"/>
  <c r="D7" i="2" s="1"/>
  <c r="C25" i="2"/>
  <c r="B25" i="2"/>
  <c r="D5" i="2" s="1"/>
  <c r="C24" i="2"/>
  <c r="B24" i="2"/>
  <c r="D8" i="2" s="1"/>
  <c r="D23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27" i="5"/>
  <c r="C23" i="5"/>
  <c r="C24" i="5"/>
  <c r="C25" i="5"/>
  <c r="B25" i="5"/>
  <c r="B24" i="5"/>
  <c r="B23" i="5"/>
  <c r="B11" i="5" s="1"/>
  <c r="D16" i="5"/>
  <c r="E16" i="5"/>
  <c r="F16" i="5"/>
  <c r="G16" i="5"/>
  <c r="H16" i="5"/>
  <c r="I16" i="5"/>
  <c r="J16" i="5"/>
  <c r="D17" i="5"/>
  <c r="E17" i="5"/>
  <c r="F17" i="5"/>
  <c r="G17" i="5"/>
  <c r="H17" i="5"/>
  <c r="I17" i="5"/>
  <c r="J17" i="5"/>
  <c r="C11" i="5"/>
  <c r="J15" i="5"/>
  <c r="I15" i="5"/>
  <c r="H15" i="5"/>
  <c r="G15" i="5"/>
  <c r="D15" i="5"/>
  <c r="C15" i="5"/>
  <c r="J14" i="5"/>
  <c r="I14" i="5"/>
  <c r="H14" i="5"/>
  <c r="G14" i="5"/>
  <c r="D14" i="5"/>
  <c r="C14" i="5"/>
  <c r="J11" i="5"/>
  <c r="I11" i="5"/>
  <c r="H11" i="5"/>
  <c r="G11" i="5"/>
  <c r="F11" i="5"/>
  <c r="E11" i="5"/>
  <c r="D11" i="5"/>
  <c r="J10" i="5"/>
  <c r="J19" i="5" s="1"/>
  <c r="I10" i="5"/>
  <c r="I12" i="5" s="1"/>
  <c r="H10" i="5"/>
  <c r="H12" i="5" s="1"/>
  <c r="G10" i="5"/>
  <c r="G18" i="5" s="1"/>
  <c r="F10" i="5"/>
  <c r="F19" i="5" s="1"/>
  <c r="E10" i="5"/>
  <c r="E12" i="5" s="1"/>
  <c r="D10" i="5"/>
  <c r="D12" i="5" s="1"/>
  <c r="C10" i="5"/>
  <c r="B10" i="5"/>
  <c r="B19" i="5" s="1"/>
  <c r="J9" i="5"/>
  <c r="J1" i="5" s="1"/>
  <c r="J2" i="5" s="1"/>
  <c r="I9" i="5"/>
  <c r="I1" i="5" s="1"/>
  <c r="I2" i="5" s="1"/>
  <c r="H9" i="5"/>
  <c r="G9" i="5"/>
  <c r="F9" i="5"/>
  <c r="E9" i="5"/>
  <c r="D9" i="5"/>
  <c r="F2" i="5"/>
  <c r="E2" i="5"/>
  <c r="D2" i="5"/>
  <c r="H1" i="5"/>
  <c r="H2" i="5" s="1"/>
  <c r="G1" i="5"/>
  <c r="G2" i="5" s="1"/>
  <c r="D1" i="5"/>
  <c r="J12" i="2"/>
  <c r="I12" i="2"/>
  <c r="H12" i="2"/>
  <c r="G12" i="2"/>
  <c r="F12" i="2"/>
  <c r="D42" i="4"/>
  <c r="B40" i="4"/>
  <c r="C39" i="4" s="1"/>
  <c r="D39" i="4" s="1"/>
  <c r="C29" i="4"/>
  <c r="C28" i="4"/>
  <c r="C27" i="4"/>
  <c r="C26" i="4"/>
  <c r="C25" i="4"/>
  <c r="C24" i="4"/>
  <c r="D28" i="4" s="1"/>
  <c r="M21" i="4"/>
  <c r="L21" i="4"/>
  <c r="K21" i="4"/>
  <c r="M20" i="4"/>
  <c r="L20" i="4"/>
  <c r="K20" i="4"/>
  <c r="B19" i="4"/>
  <c r="M18" i="4"/>
  <c r="L18" i="4"/>
  <c r="K18" i="4"/>
  <c r="L17" i="4"/>
  <c r="K17" i="4"/>
  <c r="B17" i="4"/>
  <c r="L16" i="4"/>
  <c r="K16" i="4"/>
  <c r="L15" i="4"/>
  <c r="K15" i="4"/>
  <c r="B15" i="4"/>
  <c r="L14" i="4"/>
  <c r="K14" i="4"/>
  <c r="B14" i="4"/>
  <c r="M13" i="4"/>
  <c r="L13" i="4"/>
  <c r="K13" i="4"/>
  <c r="B13" i="4"/>
  <c r="M12" i="4"/>
  <c r="L12" i="4"/>
  <c r="K12" i="4"/>
  <c r="B12" i="4"/>
  <c r="M11" i="4"/>
  <c r="L11" i="4"/>
  <c r="K11" i="4"/>
  <c r="B11" i="4"/>
  <c r="M10" i="4"/>
  <c r="L10" i="4"/>
  <c r="K10" i="4"/>
  <c r="D10" i="4"/>
  <c r="B10" i="4"/>
  <c r="M9" i="4"/>
  <c r="M17" i="4" s="1"/>
  <c r="G9" i="4"/>
  <c r="B9" i="4"/>
  <c r="B18" i="4" s="1"/>
  <c r="G8" i="4"/>
  <c r="G10" i="4" s="1"/>
  <c r="B8" i="4"/>
  <c r="D3" i="4"/>
  <c r="H2" i="4"/>
  <c r="D2" i="4"/>
  <c r="C5" i="4" l="1"/>
  <c r="C17" i="4" s="1"/>
  <c r="C34" i="4"/>
  <c r="D34" i="4" s="1"/>
  <c r="C36" i="4"/>
  <c r="D36" i="4" s="1"/>
  <c r="C38" i="4"/>
  <c r="D38" i="4" s="1"/>
  <c r="C12" i="4"/>
  <c r="D24" i="2"/>
  <c r="B12" i="5"/>
  <c r="B9" i="5"/>
  <c r="B1" i="5" s="1"/>
  <c r="C9" i="5"/>
  <c r="C1" i="5" s="1"/>
  <c r="C2" i="5" s="1"/>
  <c r="E15" i="5"/>
  <c r="F12" i="5"/>
  <c r="J12" i="5"/>
  <c r="E13" i="5"/>
  <c r="I13" i="5"/>
  <c r="D18" i="5"/>
  <c r="H18" i="5"/>
  <c r="C19" i="5"/>
  <c r="G19" i="5"/>
  <c r="C12" i="5"/>
  <c r="G12" i="5"/>
  <c r="F13" i="5"/>
  <c r="F15" i="5" s="1"/>
  <c r="J13" i="5"/>
  <c r="E14" i="5"/>
  <c r="E18" i="5"/>
  <c r="I18" i="5"/>
  <c r="D19" i="5"/>
  <c r="H19" i="5"/>
  <c r="C13" i="5"/>
  <c r="G13" i="5"/>
  <c r="F14" i="5"/>
  <c r="F18" i="5"/>
  <c r="J18" i="5"/>
  <c r="E19" i="5"/>
  <c r="I19" i="5"/>
  <c r="D13" i="5"/>
  <c r="H13" i="5"/>
  <c r="C15" i="4"/>
  <c r="D27" i="4"/>
  <c r="M14" i="4"/>
  <c r="M16" i="4"/>
  <c r="C33" i="4"/>
  <c r="D33" i="4" s="1"/>
  <c r="C35" i="4"/>
  <c r="D35" i="4" s="1"/>
  <c r="C37" i="4"/>
  <c r="C8" i="4"/>
  <c r="M15" i="4"/>
  <c r="C11" i="4" l="1"/>
  <c r="C10" i="4"/>
  <c r="C14" i="4"/>
  <c r="C7" i="4"/>
  <c r="C9" i="4"/>
  <c r="C18" i="4" s="1"/>
  <c r="C13" i="4"/>
  <c r="C18" i="5"/>
  <c r="B2" i="5"/>
  <c r="B13" i="5" s="1"/>
  <c r="B18" i="5"/>
  <c r="C16" i="5"/>
  <c r="C17" i="5"/>
  <c r="B17" i="5"/>
  <c r="B16" i="5"/>
  <c r="E28" i="4"/>
  <c r="E26" i="4"/>
  <c r="E27" i="4"/>
  <c r="E29" i="4"/>
  <c r="E25" i="4"/>
  <c r="E24" i="4"/>
  <c r="D37" i="4"/>
  <c r="D40" i="4" s="1"/>
  <c r="C40" i="4"/>
  <c r="B15" i="5" l="1"/>
  <c r="B14" i="5"/>
  <c r="F27" i="4"/>
  <c r="G27" i="4" s="1"/>
  <c r="F24" i="4"/>
  <c r="G24" i="4" s="1"/>
  <c r="J15" i="2" l="1"/>
  <c r="J14" i="2"/>
  <c r="J11" i="2"/>
  <c r="J10" i="2"/>
  <c r="J19" i="2" s="1"/>
  <c r="J9" i="2"/>
  <c r="J1" i="2" s="1"/>
  <c r="J2" i="2" s="1"/>
  <c r="I15" i="2"/>
  <c r="I14" i="2"/>
  <c r="I11" i="2"/>
  <c r="I10" i="2"/>
  <c r="I19" i="2" s="1"/>
  <c r="I9" i="2"/>
  <c r="I1" i="2" s="1"/>
  <c r="I2" i="2" s="1"/>
  <c r="H15" i="2"/>
  <c r="H14" i="2"/>
  <c r="H11" i="2"/>
  <c r="H13" i="2" s="1"/>
  <c r="H10" i="2"/>
  <c r="H19" i="2" s="1"/>
  <c r="H9" i="2"/>
  <c r="H1" i="2" s="1"/>
  <c r="H2" i="2" s="1"/>
  <c r="G11" i="2"/>
  <c r="G10" i="2"/>
  <c r="G19" i="2" s="1"/>
  <c r="G9" i="2"/>
  <c r="G1" i="2" s="1"/>
  <c r="G2" i="2" s="1"/>
  <c r="F11" i="2"/>
  <c r="F10" i="2"/>
  <c r="F19" i="2" s="1"/>
  <c r="F9" i="2"/>
  <c r="F2" i="2" s="1"/>
  <c r="E11" i="2"/>
  <c r="E17" i="2" s="1"/>
  <c r="E10" i="2"/>
  <c r="E9" i="2"/>
  <c r="D11" i="2"/>
  <c r="D10" i="2"/>
  <c r="D19" i="2" s="1"/>
  <c r="D9" i="2"/>
  <c r="C11" i="2"/>
  <c r="C10" i="2"/>
  <c r="C19" i="2" s="1"/>
  <c r="B10" i="2"/>
  <c r="B9" i="2"/>
  <c r="B11" i="2"/>
  <c r="B1" i="2" l="1"/>
  <c r="B2" i="2" s="1"/>
  <c r="B13" i="2" s="1"/>
  <c r="B15" i="2" s="1"/>
  <c r="E19" i="2"/>
  <c r="E12" i="2"/>
  <c r="B12" i="2"/>
  <c r="B19" i="2"/>
  <c r="C1" i="2"/>
  <c r="C2" i="2" s="1"/>
  <c r="C13" i="2" s="1"/>
  <c r="C12" i="2"/>
  <c r="C16" i="2" s="1"/>
  <c r="D1" i="2"/>
  <c r="D2" i="2" s="1"/>
  <c r="D12" i="2"/>
  <c r="D16" i="2" s="1"/>
  <c r="F13" i="2"/>
  <c r="F14" i="2" s="1"/>
  <c r="J17" i="2"/>
  <c r="J13" i="2"/>
  <c r="J18" i="2"/>
  <c r="I17" i="2"/>
  <c r="I13" i="2"/>
  <c r="I18" i="2"/>
  <c r="G13" i="2"/>
  <c r="H17" i="2"/>
  <c r="E16" i="2"/>
  <c r="H18" i="2"/>
  <c r="E2" i="2"/>
  <c r="F16" i="2"/>
  <c r="G16" i="2"/>
  <c r="G18" i="2"/>
  <c r="F18" i="2"/>
  <c r="E18" i="2"/>
  <c r="C18" i="2" l="1"/>
  <c r="D17" i="2"/>
  <c r="C17" i="2"/>
  <c r="D18" i="2"/>
  <c r="D13" i="2"/>
  <c r="D15" i="2" s="1"/>
  <c r="B17" i="2"/>
  <c r="B16" i="2"/>
  <c r="J16" i="2"/>
  <c r="B18" i="2"/>
  <c r="I16" i="2"/>
  <c r="C15" i="2"/>
  <c r="B14" i="2"/>
  <c r="E13" i="2"/>
  <c r="E15" i="2" s="1"/>
  <c r="G14" i="2"/>
  <c r="G15" i="2"/>
  <c r="F17" i="2"/>
  <c r="H16" i="2"/>
  <c r="G17" i="2"/>
  <c r="F15" i="2"/>
  <c r="C14" i="2"/>
  <c r="D14" i="2" l="1"/>
  <c r="E14" i="2"/>
  <c r="A40" i="16" l="1"/>
  <c r="A40" i="16" a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tc={20FF8FCE-2429-4238-9A57-BC1AF5D6A482}</author>
    <author>tc={DFB2CC96-3C27-446D-A8E6-3A4519FCCE12}</author>
    <author>tc={58DC7021-529C-4325-862F-B8B8436C2247}</author>
    <author>tc={51D6AD71-DACD-43A7-BCD4-6DBFA0103C1A}</author>
    <author>tc={4D68BAB2-46A1-49C6-8E10-C50B3FBDE3FD}</author>
    <author>tc={9B865D56-BE72-4D57-9096-51FB32EBD5D4}</author>
    <author>tc={67E06477-0E1E-4B5B-8DBD-A868498C22CC}</author>
    <author>tc={646748A1-CAE5-48B8-B583-0C2B723FD1A8}</author>
    <author>tc={FF44026A-8F60-4E23-9DCF-CBEE55239366}</author>
    <author>tc={800968F7-88F1-49E9-BD63-31C9DF6B62A4}</author>
    <author>tc={2BE4D086-23AF-4AEC-B311-F34F5542B598}</author>
    <author>tc={CC0F03A0-23CE-47C0-BD14-8441DD4D947A}</author>
    <author>tc={EDA16E90-D5BE-404C-BFAF-3D950D5FB260}</author>
    <author>tc={D4362A6C-CE37-4A58-8FA5-4462EAE2F637}</author>
    <author>tc={5644F893-DBE2-43E3-94CC-6B45A7B3241B}</author>
    <author>tc={8EDEBC76-D0D8-44C7-AFAF-B68A41FEF890}</author>
    <author>tc={D7E062E8-7720-4D7C-A404-0B88FF2FEA60}</author>
    <author>tc={ACC735A1-B517-45E8-9825-A5567BC9395D}</author>
    <author>tc={139B0120-833F-48DA-9395-95E054522D17}</author>
    <author>tc={4E5C5E11-8F69-4C3C-BC8D-54FEFD4708ED}</author>
    <author>tc={AF02B329-4022-4085-A1BA-1FF2B4AC57B7}</author>
    <author>tc={02540206-AECF-462B-96F9-0CA852D42065}</author>
    <author>tc={16767615-A9EE-4167-ADCE-E5191A01AB3D}</author>
    <author>tc={59727208-12C5-49F0-A3B0-82BD65DBCB37}</author>
    <author>tc={BCDF55C8-CE66-4A7D-BD04-B282701702E0}</author>
    <author>tc={D608184E-0111-4D9B-90E5-42EAC9A2CE1E}</author>
    <author>tc={3855E543-2A3F-41E7-8338-821C4CECFBCE}</author>
    <author>tc={DF54F054-8E41-416D-9D93-783C51C7E045}</author>
    <author>tc={8E030F4D-EBA6-4AD5-ABA6-8ED10052228D}</author>
  </authors>
  <commentList>
    <comment ref="B4" authorId="0" shapeId="0" xr:uid="{20FF8FCE-2429-4238-9A57-BC1AF5D6A482}">
      <text>
        <t>[Threaded comment]
Your version of Excel allows you to read this threaded comment; however, any edits to it will get removed if the file is opened in a newer version of Excel. Learn more: https://go.microsoft.com/fwlink/?linkid=870924
Comment:
    keep as original mean value</t>
      </text>
    </comment>
    <comment ref="C4" authorId="1" shapeId="0" xr:uid="{DFB2CC96-3C27-446D-A8E6-3A4519FCCE12}">
      <text>
        <t>[Threaded comment]
Your version of Excel allows you to read this threaded comment; however, any edits to it will get removed if the file is opened in a newer version of Excel. Learn more: https://go.microsoft.com/fwlink/?linkid=870924
Comment:
    keep as original mean value</t>
      </text>
    </comment>
    <comment ref="A6" authorId="2" shapeId="0" xr:uid="{58DC7021-529C-4325-862F-B8B8436C2247}">
      <text>
        <t>[Threaded comment]
Your version of Excel allows you to read this threaded comment; however, any edits to it will get removed if the file is opened in a newer version of Excel. Learn more: https://go.microsoft.com/fwlink/?linkid=870924
Comment:
    input % converted to dec. or probability to return X.  down in the P(x&lt;a. x&gt;a) percentile slots below</t>
      </text>
    </comment>
    <comment ref="K7" authorId="3" shapeId="0" xr:uid="{51D6AD71-DACD-43A7-BCD4-6DBFA0103C1A}">
      <text>
        <t>[Threaded comment]
Your version of Excel allows you to read this threaded comment; however, any edits to it will get removed if the file is opened in a newer version of Excel. Learn more: https://go.microsoft.com/fwlink/?linkid=870924
Comment:
    keep as original mean value</t>
      </text>
    </comment>
    <comment ref="L7" authorId="4" shapeId="0" xr:uid="{4D68BAB2-46A1-49C6-8E10-C50B3FBDE3FD}">
      <text>
        <t>[Threaded comment]
Your version of Excel allows you to read this threaded comment; however, any edits to it will get removed if the file is opened in a newer version of Excel. Learn more: https://go.microsoft.com/fwlink/?linkid=870924
Comment:
    keep as original mean value</t>
      </text>
    </comment>
    <comment ref="M7" authorId="5" shapeId="0" xr:uid="{9B865D56-BE72-4D57-9096-51FB32EBD5D4}">
      <text>
        <t>[Threaded comment]
Your version of Excel allows you to read this threaded comment; however, any edits to it will get removed if the file is opened in a newer version of Excel. Learn more: https://go.microsoft.com/fwlink/?linkid=870924
Comment:
    keep as original mean value</t>
      </text>
    </comment>
    <comment ref="L8" authorId="6" shapeId="0" xr:uid="{67E06477-0E1E-4B5B-8DBD-A868498C22CC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sample means, plug value into sd to calculate probability for that quanitity</t>
      </text>
    </comment>
    <comment ref="M8" authorId="7" shapeId="0" xr:uid="{646748A1-CAE5-48B8-B583-0C2B723FD1A8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sample means, plug value into sd to calculate probability for that quanitity</t>
      </text>
    </comment>
    <comment ref="J9" authorId="8" shapeId="0" xr:uid="{FF44026A-8F60-4E23-9DCF-CBEE55239366}">
      <text>
        <t>[Threaded comment]
Your version of Excel allows you to read this threaded comment; however, any edits to it will get removed if the file is opened in a newer version of Excel. Learn more: https://go.microsoft.com/fwlink/?linkid=870924
Comment:
    input % converted to dec. or probability to return X.  down in the P(x&lt;a. x&gt;a) percentile slots below</t>
      </text>
    </comment>
    <comment ref="A10" authorId="9" shapeId="0" xr:uid="{800968F7-88F1-49E9-BD63-31C9DF6B62A4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higher endpoint comes first then the lower endpoint second</t>
      </text>
    </comment>
    <comment ref="A11" authorId="10" shapeId="0" xr:uid="{2BE4D086-23AF-4AEC-B311-F34F5542B598}">
      <text>
        <t>[Threaded comment]
Your version of Excel allows you to read this threaded comment; however, any edits to it will get removed if the file is opened in a newer version of Excel. Learn more: https://go.microsoft.com/fwlink/?linkid=870924
Comment:
    1 SD from mean</t>
      </text>
    </comment>
    <comment ref="A13" authorId="11" shapeId="0" xr:uid="{CC0F03A0-23CE-47C0-BD14-8441DD4D947A}">
      <text>
        <t>[Threaded comment]
Your version of Excel allows you to read this threaded comment; however, any edits to it will get removed if the file is opened in a newer version of Excel. Learn more: https://go.microsoft.com/fwlink/?linkid=870924
Comment:
    P(x&lt;a)=.05 w/2 σ</t>
      </text>
    </comment>
    <comment ref="J13" authorId="12" shapeId="0" xr:uid="{EDA16E90-D5BE-404C-BFAF-3D950D5FB260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higher endpoint comes first then the lower endpoint second</t>
      </text>
    </comment>
    <comment ref="L13" authorId="13" shapeId="0" xr:uid="{D4362A6C-CE37-4A58-8FA5-4462EAE2F637}">
      <text>
        <t>[Threaded comment]
Your version of Excel allows you to read this threaded comment; however, any edits to it will get removed if the file is opened in a newer version of Excel. Learn more: https://go.microsoft.com/fwlink/?linkid=870924
Comment:
    P of 16 females with heart between
 69~83 bpm</t>
      </text>
    </comment>
    <comment ref="M13" authorId="14" shapeId="0" xr:uid="{5644F893-DBE2-43E3-94CC-6B45A7B3241B}">
      <text>
        <t>[Threaded comment]
Your version of Excel allows you to read this threaded comment; however, any edits to it will get removed if the file is opened in a newer version of Excel. Learn more: https://go.microsoft.com/fwlink/?linkid=870924
Comment:
    P of 16 females with heart between
 69~83 bpm</t>
      </text>
    </comment>
    <comment ref="A14" authorId="15" shapeId="0" xr:uid="{8EDEBC76-D0D8-44C7-AFAF-B68A41FEF890}">
      <text>
        <t>[Threaded comment]
Your version of Excel allows you to read this threaded comment; however, any edits to it will get removed if the file is opened in a newer version of Excel. Learn more: https://go.microsoft.com/fwlink/?linkid=870924
Comment:
    p(x&gt;a)=.95 w/ 2 σ</t>
      </text>
    </comment>
    <comment ref="J14" authorId="16" shapeId="0" xr:uid="{D7E062E8-7720-4D7C-A404-0B88FF2FEA60}">
      <text>
        <t>[Threaded comment]
Your version of Excel allows you to read this threaded comment; however, any edits to it will get removed if the file is opened in a newer version of Excel. Learn more: https://go.microsoft.com/fwlink/?linkid=870924
Comment:
    1 SD from mean</t>
      </text>
    </comment>
    <comment ref="B15" authorId="17" shapeId="0" xr:uid="{ACC735A1-B517-45E8-9825-A5567BC9395D}">
      <text>
        <t>[Threaded comment]
Your version of Excel allows you to read this threaded comment; however, any edits to it will get removed if the file is opened in a newer version of Excel. Learn more: https://go.microsoft.com/fwlink/?linkid=870924
Comment:
    can be lower limit output</t>
      </text>
    </comment>
    <comment ref="C15" authorId="18" shapeId="0" xr:uid="{139B0120-833F-48DA-9395-95E054522D17}">
      <text>
        <t>[Threaded comment]
Your version of Excel allows you to read this threaded comment; however, any edits to it will get removed if the file is opened in a newer version of Excel. Learn more: https://go.microsoft.com/fwlink/?linkid=870924
Comment:
    can be lower limit output</t>
      </text>
    </comment>
    <comment ref="J16" authorId="19" shapeId="0" xr:uid="{4E5C5E11-8F69-4C3C-BC8D-54FEFD4708ED}">
      <text>
        <t>[Threaded comment]
Your version of Excel allows you to read this threaded comment; however, any edits to it will get removed if the file is opened in a newer version of Excel. Learn more: https://go.microsoft.com/fwlink/?linkid=870924
Comment:
    P(x&lt;a)=.05 w/2 σ</t>
      </text>
    </comment>
    <comment ref="B17" authorId="20" shapeId="0" xr:uid="{AF02B329-4022-4085-A1BA-1FF2B4AC57B7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sample means, plug value into sd to calculate probability for that quanitity</t>
      </text>
    </comment>
    <comment ref="C17" authorId="21" shapeId="0" xr:uid="{02540206-AECF-462B-96F9-0CA852D42065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sample means, plug value into sd to calculate probability for that quanitity</t>
      </text>
    </comment>
    <comment ref="J17" authorId="22" shapeId="0" xr:uid="{16767615-A9EE-4167-ADCE-E5191A01AB3D}">
      <text>
        <t>[Threaded comment]
Your version of Excel allows you to read this threaded comment; however, any edits to it will get removed if the file is opened in a newer version of Excel. Learn more: https://go.microsoft.com/fwlink/?linkid=870924
Comment:
    p(x&gt;a)=.95 w/ 2 σ</t>
      </text>
    </comment>
    <comment ref="K18" authorId="23" shapeId="0" xr:uid="{59727208-12C5-49F0-A3B0-82BD65DBCB37}">
      <text>
        <t>[Threaded comment]
Your version of Excel allows you to read this threaded comment; however, any edits to it will get removed if the file is opened in a newer version of Excel. Learn more: https://go.microsoft.com/fwlink/?linkid=870924
Comment:
    can be lower limit output</t>
      </text>
    </comment>
    <comment ref="L18" authorId="24" shapeId="0" xr:uid="{BCDF55C8-CE66-4A7D-BD04-B282701702E0}">
      <text>
        <t>[Threaded comment]
Your version of Excel allows you to read this threaded comment; however, any edits to it will get removed if the file is opened in a newer version of Excel. Learn more: https://go.microsoft.com/fwlink/?linkid=870924
Comment:
    can be lower limit output</t>
      </text>
    </comment>
    <comment ref="M18" authorId="25" shapeId="0" xr:uid="{D608184E-0111-4D9B-90E5-42EAC9A2CE1E}">
      <text>
        <t>[Threaded comment]
Your version of Excel allows you to read this threaded comment; however, any edits to it will get removed if the file is opened in a newer version of Excel. Learn more: https://go.microsoft.com/fwlink/?linkid=870924
Comment:
    can be lower limit output</t>
      </text>
    </comment>
    <comment ref="K20" authorId="26" shapeId="0" xr:uid="{3855E543-2A3F-41E7-8338-821C4CECFBCE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sample means, plug value into sd to calculate probability for that quanitity</t>
      </text>
    </comment>
    <comment ref="L20" authorId="27" shapeId="0" xr:uid="{DF54F054-8E41-416D-9D93-783C51C7E045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sample means, plug value into sd to calculate probability for that quanitity</t>
      </text>
    </comment>
    <comment ref="M20" authorId="28" shapeId="0" xr:uid="{8E030F4D-EBA6-4AD5-ABA6-8ED10052228D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sample means, plug value into sd to calculate probability for that quanitity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tc={7E2B1C63-2416-424A-8113-F6F807AC10E1}</author>
    <author>tc={86719DB1-3007-4BE4-9E1F-6EE01D49646E}</author>
  </authors>
  <commentList>
    <comment ref="A14" authorId="0" shapeId="0" xr:uid="{7E2B1C63-2416-424A-8113-F6F807AC10E1}">
      <text>
        <t>[Threaded comment]
Your version of Excel allows you to read this threaded comment; however, any edits to it will get removed if the file is opened in a newer version of Excel. Learn more: https://go.microsoft.com/fwlink/?linkid=870924
Comment:
    σ not known and normally distributed population or σ not known and n&gt;30</t>
      </text>
    </comment>
    <comment ref="A15" authorId="1" shapeId="0" xr:uid="{86719DB1-3007-4BE4-9E1F-6EE01D49646E}">
      <text>
        <t>[Threaded comment]
Your version of Excel allows you to read this threaded comment; however, any edits to it will get removed if the file is opened in a newer version of Excel. Learn more: https://go.microsoft.com/fwlink/?linkid=870924
Comment:
    σ known and normally distributed population or σ known and n&gt;30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tc={E60799BF-B373-4358-832D-7A41DE93E111}</author>
    <author>tc={F0AA58B7-900B-4D89-BE8B-E45927165207}</author>
  </authors>
  <commentList>
    <comment ref="A14" authorId="0" shapeId="0" xr:uid="{E60799BF-B373-4358-832D-7A41DE93E111}">
      <text>
        <t>[Threaded comment]
Your version of Excel allows you to read this threaded comment; however, any edits to it will get removed if the file is opened in a newer version of Excel. Learn more: https://go.microsoft.com/fwlink/?linkid=870924
Comment:
    σ not known and normally distributed population or σ not known and n&gt;30</t>
      </text>
    </comment>
    <comment ref="A15" authorId="1" shapeId="0" xr:uid="{F0AA58B7-900B-4D89-BE8B-E45927165207}">
      <text>
        <t>[Threaded comment]
Your version of Excel allows you to read this threaded comment; however, any edits to it will get removed if the file is opened in a newer version of Excel. Learn more: https://go.microsoft.com/fwlink/?linkid=870924
Comment:
    σ known and normally distributed population or σ known and n&gt;30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tc={3B56B6AF-5760-4DEE-9E71-C30010874380}</author>
    <author>tc={52EB262F-5357-4E44-B85B-61387B983369}</author>
  </authors>
  <commentList>
    <comment ref="A14" authorId="0" shapeId="0" xr:uid="{3B56B6AF-5760-4DEE-9E71-C30010874380}">
      <text>
        <t>[Threaded comment]
Your version of Excel allows you to read this threaded comment; however, any edits to it will get removed if the file is opened in a newer version of Excel. Learn more: https://go.microsoft.com/fwlink/?linkid=870924
Comment:
    σ not known and normally distributed population or σ not known and n&gt;30</t>
      </text>
    </comment>
    <comment ref="A15" authorId="1" shapeId="0" xr:uid="{52EB262F-5357-4E44-B85B-61387B983369}">
      <text>
        <t>[Threaded comment]
Your version of Excel allows you to read this threaded comment; however, any edits to it will get removed if the file is opened in a newer version of Excel. Learn more: https://go.microsoft.com/fwlink/?linkid=870924
Comment:
    σ known and normally distributed population or σ known and n&gt;30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tc={8FE48D17-AA0F-4B4E-8A08-615E14E30A3E}</author>
    <author>tc={BA69B656-5C22-4548-BD2B-EEA65F5D3907}</author>
    <author>tc={EA447B8E-62F6-4DDC-9292-3713EEB1AB97}</author>
    <author>tc={161257F1-4A0F-4FFD-8ED0-C985459A7CC4}</author>
    <author>WolfPack</author>
    <author>tc={60623392-D5F4-4506-A870-4FD8EB1E729D}</author>
    <author>tc={681BB3FC-43BD-478C-A9D4-1EC3EE0E803E}</author>
    <author>tc={1D949DEE-9184-4EE3-BFE2-91D26E657CA2}</author>
    <author>tc={2F04235E-A966-476E-83F2-0EC58693F917}</author>
    <author>tc={D904739D-09FE-4AF5-B4FF-65F9056CCDCD}</author>
    <author>tc={14171D8A-C166-444F-BC68-11CF1A15C531}</author>
    <author>tc={710C37E4-44A0-4157-B25C-8CD4B0281366}</author>
    <author>tc={AB9DFF0B-5A5D-4E80-9F68-D23E5C71300D}</author>
    <author>tc={F70694A5-48AA-4D9F-9A3D-7FE9A3F0748E}</author>
    <author>tc={8FEAE23A-02FB-440A-9EFB-F9532B82F1E6}</author>
    <author>tc={6F19ECE8-705C-418B-A806-EE2642E14C45}</author>
    <author>tc={8F99780A-309B-4EE4-8CCF-BF4F077BDF79}</author>
    <author>tc={D7EC0584-4882-41DB-889B-E570AF829270}</author>
    <author>tc={E1D0AFAB-6C30-408B-B4E2-BF0FAB675B87}</author>
    <author>tc={790CB415-2774-48C5-B0E5-367F9644BAC9}</author>
    <author>tc={01374628-4BDD-45E0-8AE4-BA3E9C75455D}</author>
  </authors>
  <commentList>
    <comment ref="A10" authorId="0" shapeId="0" xr:uid="{8FE48D17-AA0F-4B4E-8A08-615E14E30A3E}">
      <text>
        <t>[Threaded comment]
Your version of Excel allows you to read this threaded comment; however, any edits to it will get removed if the file is opened in a newer version of Excel. Learn more: https://go.microsoft.com/fwlink/?linkid=870924
Comment:
    2nd odds net profit</t>
      </text>
    </comment>
    <comment ref="B10" authorId="1" shapeId="0" xr:uid="{BA69B656-5C22-4548-BD2B-EEA65F5D3907}">
      <text>
        <t>[Threaded comment]
Your version of Excel allows you to read this threaded comment; however, any edits to it will get removed if the file is opened in a newer version of Excel. Learn more: https://go.microsoft.com/fwlink/?linkid=870924
Comment:
    initial bet amount</t>
      </text>
    </comment>
    <comment ref="C29" authorId="2" shapeId="0" xr:uid="{EA447B8E-62F6-4DDC-9292-3713EEB1AB97}">
      <text>
        <t>[Threaded comment]
Your version of Excel allows you to read this threaded comment; however, any edits to it will get removed if the file is opened in a newer version of Excel. Learn more: https://go.microsoft.com/fwlink/?linkid=870924
Comment:
    =n*p   this is the MEAN</t>
      </text>
    </comment>
    <comment ref="E29" authorId="3" shapeId="0" xr:uid="{161257F1-4A0F-4FFD-8ED0-C985459A7CC4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answer for the desired parameter</t>
      </text>
    </comment>
    <comment ref="A30" authorId="4" shapeId="0" xr:uid="{DF669452-B0B4-47D6-B558-CD858495C928}">
      <text>
        <r>
          <rPr>
            <b/>
            <sz val="9"/>
            <color indexed="81"/>
            <rFont val="Tahoma"/>
            <family val="2"/>
          </rPr>
          <t>WolfPack:</t>
        </r>
        <r>
          <rPr>
            <sz val="9"/>
            <color indexed="81"/>
            <rFont val="Tahoma"/>
            <family val="2"/>
          </rPr>
          <t xml:space="preserve">
This is the exact position in the trial we are trying to find the Probability Distribution for.</t>
        </r>
      </text>
    </comment>
    <comment ref="E30" authorId="5" shapeId="0" xr:uid="{60623392-D5F4-4506-A870-4FD8EB1E729D}">
      <text>
        <t>[Threaded comment]
Your version of Excel allows you to read this threaded comment; however, any edits to it will get removed if the file is opened in a newer version of Excel. Learn more: https://go.microsoft.com/fwlink/?linkid=870924
Comment:
    binomial Distr combined</t>
      </text>
    </comment>
    <comment ref="C36" authorId="6" shapeId="0" xr:uid="{681BB3FC-43BD-478C-A9D4-1EC3EE0E803E}">
      <text>
        <t>[Threaded comment]
Your version of Excel allows you to read this threaded comment; however, any edits to it will get removed if the file is opened in a newer version of Excel. Learn more: https://go.microsoft.com/fwlink/?linkid=870924
Comment:
    =n*p   this is the MEAN</t>
      </text>
    </comment>
    <comment ref="E36" authorId="7" shapeId="0" xr:uid="{1D949DEE-9184-4EE3-BFE2-91D26E657CA2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answer for the desired parameter</t>
      </text>
    </comment>
    <comment ref="A37" authorId="4" shapeId="0" xr:uid="{0B924C79-9F0E-4586-BAAC-7EA5CABF3983}">
      <text>
        <r>
          <rPr>
            <b/>
            <sz val="9"/>
            <color indexed="81"/>
            <rFont val="Tahoma"/>
            <family val="2"/>
          </rPr>
          <t>WolfPack:</t>
        </r>
        <r>
          <rPr>
            <sz val="9"/>
            <color indexed="81"/>
            <rFont val="Tahoma"/>
            <family val="2"/>
          </rPr>
          <t xml:space="preserve">
This is the exact position in the trial we are trying to find the Probability Distribution for.</t>
        </r>
      </text>
    </comment>
    <comment ref="E37" authorId="8" shapeId="0" xr:uid="{2F04235E-A966-476E-83F2-0EC58693F917}">
      <text>
        <t>[Threaded comment]
Your version of Excel allows you to read this threaded comment; however, any edits to it will get removed if the file is opened in a newer version of Excel. Learn more: https://go.microsoft.com/fwlink/?linkid=870924
Comment:
    binomial Distr combined</t>
      </text>
    </comment>
    <comment ref="D43" authorId="9" shapeId="0" xr:uid="{D904739D-09FE-4AF5-B4FF-65F9056CCDCD}">
      <text>
        <t>[Threaded comment]
Your version of Excel allows you to read this threaded comment; however, any edits to it will get removed if the file is opened in a newer version of Excel. Learn more: https://go.microsoft.com/fwlink/?linkid=870924
Comment:
    Sum of 0~3</t>
      </text>
    </comment>
    <comment ref="D44" authorId="10" shapeId="0" xr:uid="{14171D8A-C166-444F-BC68-11CF1A15C531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range 0~3  BInomial prob.</t>
      </text>
    </comment>
    <comment ref="E66" authorId="11" shapeId="0" xr:uid="{710C37E4-44A0-4157-B25C-8CD4B0281366}">
      <text>
        <t>[Threaded comment]
Your version of Excel allows you to read this threaded comment; however, any edits to it will get removed if the file is opened in a newer version of Excel. Learn more: https://go.microsoft.com/fwlink/?linkid=870924
Comment:
    probability that the exct number believe in x</t>
      </text>
    </comment>
    <comment ref="D67" authorId="12" shapeId="0" xr:uid="{AB9DFF0B-5A5D-4E80-9F68-D23E5C71300D}">
      <text>
        <t>[Threaded comment]
Your version of Excel allows you to read this threaded comment; however, any edits to it will get removed if the file is opened in a newer version of Excel. Learn more: https://go.microsoft.com/fwlink/?linkid=870924
Comment:
    Sum of 0,1 Check the Range numbers to make sure they are correct.</t>
      </text>
    </comment>
    <comment ref="D68" authorId="13" shapeId="0" xr:uid="{F70694A5-48AA-4D9F-9A3D-7FE9A3F0748E}">
      <text>
        <t>[Threaded comment]
Your version of Excel allows you to read this threaded comment; however, any edits to it will get removed if the file is opened in a newer version of Excel. Learn more: https://go.microsoft.com/fwlink/?linkid=870924
Comment:
    Check the Range numbers to make sure they are correct.</t>
      </text>
    </comment>
    <comment ref="D69" authorId="14" shapeId="0" xr:uid="{8FEAE23A-02FB-440A-9EFB-F9532B82F1E6}">
      <text>
        <t>[Threaded comment]
Your version of Excel allows you to read this threaded comment; however, any edits to it will get removed if the file is opened in a newer version of Excel. Learn more: https://go.microsoft.com/fwlink/?linkid=870924
Comment:
    prob that all believe should be 0.130</t>
      </text>
    </comment>
    <comment ref="D79" authorId="15" shapeId="0" xr:uid="{6F19ECE8-705C-418B-A806-EE2642E14C45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% of bad things</t>
      </text>
    </comment>
    <comment ref="A90" authorId="16" shapeId="0" xr:uid="{8F99780A-309B-4EE4-8CCF-BF4F077BDF79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initial bed amount</t>
      </text>
    </comment>
    <comment ref="B90" authorId="17" shapeId="0" xr:uid="{D7EC0584-4882-41DB-889B-E570AF829270}">
      <text>
        <t>[Threaded comment]
Your version of Excel allows you to read this threaded comment; however, any edits to it will get removed if the file is opened in a newer version of Excel. Learn more: https://go.microsoft.com/fwlink/?linkid=870924
Comment:
    expected value for a single number bet</t>
      </text>
    </comment>
    <comment ref="A91" authorId="18" shapeId="0" xr:uid="{E1D0AFAB-6C30-408B-B4E2-BF0FAB675B87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net profit</t>
      </text>
    </comment>
    <comment ref="B91" authorId="19" shapeId="0" xr:uid="{790CB415-2774-48C5-B0E5-367F9644BAC9}">
      <text>
        <t>[Threaded comment]
Your version of Excel allows you to read this threaded comment; however, any edits to it will get removed if the file is opened in a newer version of Excel. Learn more: https://go.microsoft.com/fwlink/?linkid=870924
Comment:
    Probability of losing x on this bet</t>
      </text>
    </comment>
    <comment ref="B92" authorId="20" shapeId="0" xr:uid="{01374628-4BDD-45E0-8AE4-BA3E9C75455D}">
      <text>
        <t>[Threaded comment]
Your version of Excel allows you to read this threaded comment; however, any edits to it will get removed if the file is opened in a newer version of Excel. Learn more: https://go.microsoft.com/fwlink/?linkid=870924
Comment:
    Net profit*odds-paid amount*1-odds=
expected value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tc={F77C48E2-56B8-4AF5-9E59-8D5B76FFF0F3}</author>
    <author>tc={7AA5525F-8EDC-4C0C-8B70-1C00D48BD3B4}</author>
    <author>tc={77D39D8F-CA34-45E6-9A8E-9B80E6E8DA9C}</author>
    <author>tc={F9938C6C-7882-4D41-8FA6-02721D19C4DB}</author>
    <author>tc={EFF244BA-0072-49BC-A381-65DB96C14121}</author>
    <author>tc={E8D29D3A-BCC3-4B5A-9C9D-992783993B2A}</author>
    <author>tc={DAE21660-CAA5-49BB-AE1A-A664C1FBC41E}</author>
    <author>tc={7D3937B1-B1A5-4426-A724-31FC3F3C5516}</author>
    <author>tc={3CD80F1D-25AF-4420-AB97-3D73CD7D209C}</author>
    <author>tc={E318039D-9CC2-4CC1-A5E0-3BB739273392}</author>
    <author>tc={2B13E7A3-F577-46B0-BA0C-497F5F8AE49E}</author>
    <author>tc={103D079B-8B38-4072-B39B-F3B3F0ECA70F}</author>
    <author>tc={D160FCDE-CF6C-4429-9A36-C713BC05CD2B}</author>
    <author>tc={FCE6CC32-7BB0-4CA8-84C8-215F5BD0C943}</author>
    <author>tc={716F72B0-F207-4D05-AB69-4B05A5817CD9}</author>
    <author>tc={9F43B9F0-6ACF-4D03-862C-8EBB9157B8BE}</author>
    <author>tc={3BCAA71D-1796-437F-B5EE-8AAF4E02826C}</author>
    <author>tc={70A34E45-D8F1-4A5F-849B-D373F1B27AF2}</author>
    <author>tc={617715D3-9B48-4744-BD4A-2D12F58D9F64}</author>
    <author>tc={9638D367-8249-4956-9549-8E3A1ACFDFBD}</author>
    <author>tc={AD08575F-7ABB-425F-B2B7-AFD586371B8B}</author>
    <author>tc={FA8A236B-C17A-4800-9ECC-C6EFFB519D8E}</author>
    <author>tc={B287CB30-C780-4766-9EDD-2BEBC9C2A8C5}</author>
    <author>tc={6AA96875-E0C6-4F39-95EF-14F0DFD23850}</author>
    <author>tc={3CDCA34B-0A95-47B4-B7CC-5D7D39674A58}</author>
    <author>tc={A920EAC1-0CDA-46AB-A0C1-C4B1567BD47E}</author>
    <author>tc={AD5E2AC4-8484-46FC-B9D7-64B5C2AD1AF6}</author>
    <author>tc={F5F0B82C-5D58-4469-868A-3C5E5957E1BC}</author>
    <author>tc={ADC4B8A5-0E37-4CB0-864C-F5609FDE5A7E}</author>
    <author>tc={61B5D4B8-569F-4D0C-A288-2A2C8D6BAAB1}</author>
    <author>tc={DC2EA79D-7571-4831-9C97-C9F06C86137A}</author>
    <author>tc={ABD87BE6-38E8-4261-9483-B31843135B9D}</author>
    <author>tc={2459ADA6-7EB7-49C4-8ED0-DF1CEEDF65C0}</author>
    <author>tc={AAE12AD4-AA02-487F-9BE5-0625C37254B8}</author>
    <author>tc={4A0DAF40-3BBB-460C-8F22-7005E49D7B90}</author>
    <author>tc={232C77A7-6C53-4A7F-8B6A-9A890D977E3C}</author>
    <author>tc={E5F967F1-65A4-477D-ACAE-ECE9433079DB}</author>
    <author>tc={62C2CC94-2D22-41B8-8665-24B47110F78E}</author>
    <author>tc={D8F7E91E-580E-4A90-9DC9-F4A0C54D840E}</author>
    <author>tc={408712D2-07DD-4676-AF25-F4B8C0AE7795}</author>
    <author>tc={42A27B29-2720-44CE-BCD4-30AFB24B7B8E}</author>
    <author>tc={3CC01F9E-1913-4BFA-96E3-3C6C4C7F8C6C}</author>
    <author>tc={2F7DCDB6-4442-4EBE-A291-B2BAA052A2CB}</author>
    <author>tc={56503B07-C703-4E77-938E-45FD1374CCF4}</author>
  </authors>
  <commentList>
    <comment ref="A6" authorId="0" shapeId="0" xr:uid="{F77C48E2-56B8-4AF5-9E59-8D5B76FFF0F3}">
      <text>
        <t>[Threaded comment]
Your version of Excel allows you to read this threaded comment; however, any edits to it will get removed if the file is opened in a newer version of Excel. Learn more: https://go.microsoft.com/fwlink/?linkid=870924
Comment:
    input % converted to dec. or probability to return X.  down in the P(x&lt;a. x&gt;a) percentile slots below</t>
      </text>
    </comment>
    <comment ref="A10" authorId="1" shapeId="0" xr:uid="{7AA5525F-8EDC-4C0C-8B70-1C00D48BD3B4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higher endpoint comes first then the lower endpoint second</t>
      </text>
    </comment>
    <comment ref="H10" authorId="2" shapeId="0" xr:uid="{77D39D8F-CA34-45E6-9A8E-9B80E6E8DA9C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higher endpoint comes first then the lower endpoint second</t>
      </text>
    </comment>
    <comment ref="A11" authorId="3" shapeId="0" xr:uid="{F9938C6C-7882-4D41-8FA6-02721D19C4DB}">
      <text>
        <t>[Threaded comment]
Your version of Excel allows you to read this threaded comment; however, any edits to it will get removed if the file is opened in a newer version of Excel. Learn more: https://go.microsoft.com/fwlink/?linkid=870924
Comment:
    1 SD from mean</t>
      </text>
    </comment>
    <comment ref="H11" authorId="4" shapeId="0" xr:uid="{EFF244BA-0072-49BC-A381-65DB96C14121}">
      <text>
        <t>[Threaded comment]
Your version of Excel allows you to read this threaded comment; however, any edits to it will get removed if the file is opened in a newer version of Excel. Learn more: https://go.microsoft.com/fwlink/?linkid=870924
Comment:
    1 SD from mean</t>
      </text>
    </comment>
    <comment ref="A13" authorId="5" shapeId="0" xr:uid="{E8D29D3A-BCC3-4B5A-9C9D-992783993B2A}">
      <text>
        <t>[Threaded comment]
Your version of Excel allows you to read this threaded comment; however, any edits to it will get removed if the file is opened in a newer version of Excel. Learn more: https://go.microsoft.com/fwlink/?linkid=870924
Comment:
    P(x&lt;a)=.05 w/2 σ</t>
      </text>
    </comment>
    <comment ref="H13" authorId="6" shapeId="0" xr:uid="{DAE21660-CAA5-49BB-AE1A-A664C1FBC41E}">
      <text>
        <t>[Threaded comment]
Your version of Excel allows you to read this threaded comment; however, any edits to it will get removed if the file is opened in a newer version of Excel. Learn more: https://go.microsoft.com/fwlink/?linkid=870924
Comment:
    P(x&lt;a)=.05 w/2 σ</t>
      </text>
    </comment>
    <comment ref="A14" authorId="7" shapeId="0" xr:uid="{7D3937B1-B1A5-4426-A724-31FC3F3C5516}">
      <text>
        <t>[Threaded comment]
Your version of Excel allows you to read this threaded comment; however, any edits to it will get removed if the file is opened in a newer version of Excel. Learn more: https://go.microsoft.com/fwlink/?linkid=870924
Comment:
    p(x&gt;a)=.95 w/ 2 σ</t>
      </text>
    </comment>
    <comment ref="H14" authorId="8" shapeId="0" xr:uid="{3CD80F1D-25AF-4420-AB97-3D73CD7D209C}">
      <text>
        <t>[Threaded comment]
Your version of Excel allows you to read this threaded comment; however, any edits to it will get removed if the file is opened in a newer version of Excel. Learn more: https://go.microsoft.com/fwlink/?linkid=870924
Comment:
    p(x&gt;a)=.95 w/ 2 σ</t>
      </text>
    </comment>
    <comment ref="B15" authorId="9" shapeId="0" xr:uid="{E318039D-9CC2-4CC1-A5E0-3BB739273392}">
      <text>
        <t>[Threaded comment]
Your version of Excel allows you to read this threaded comment; however, any edits to it will get removed if the file is opened in a newer version of Excel. Learn more: https://go.microsoft.com/fwlink/?linkid=870924
Comment:
    can be lower limit output</t>
      </text>
    </comment>
    <comment ref="C15" authorId="10" shapeId="0" xr:uid="{2B13E7A3-F577-46B0-BA0C-497F5F8AE49E}">
      <text>
        <t>[Threaded comment]
Your version of Excel allows you to read this threaded comment; however, any edits to it will get removed if the file is opened in a newer version of Excel. Learn more: https://go.microsoft.com/fwlink/?linkid=870924
Comment:
    can be upper limit output</t>
      </text>
    </comment>
    <comment ref="D15" authorId="11" shapeId="0" xr:uid="{103D079B-8B38-4072-B39B-F3B3F0ECA70F}">
      <text>
        <t>[Threaded comment]
Your version of Excel allows you to read this threaded comment; however, any edits to it will get removed if the file is opened in a newer version of Excel. Learn more: https://go.microsoft.com/fwlink/?linkid=870924
Comment:
    can be lower limit output</t>
      </text>
    </comment>
    <comment ref="E15" authorId="12" shapeId="0" xr:uid="{D160FCDE-CF6C-4429-9A36-C713BC05CD2B}">
      <text>
        <t>[Threaded comment]
Your version of Excel allows you to read this threaded comment; however, any edits to it will get removed if the file is opened in a newer version of Excel. Learn more: https://go.microsoft.com/fwlink/?linkid=870924
Comment:
    can be lower limit output</t>
      </text>
    </comment>
    <comment ref="B17" authorId="13" shapeId="0" xr:uid="{FCE6CC32-7BB0-4CA8-84C8-215F5BD0C943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sample means, plug value into sd to calculate probability for that quanitity</t>
      </text>
    </comment>
    <comment ref="D17" authorId="14" shapeId="0" xr:uid="{716F72B0-F207-4D05-AB69-4B05A5817CD9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sample means, plug value into sd to calculate probability for that quanitity</t>
      </text>
    </comment>
    <comment ref="E17" authorId="15" shapeId="0" xr:uid="{9F43B9F0-6ACF-4D03-862C-8EBB9157B8BE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sample means, plug value into sd to calculate probability for that quanitity</t>
      </text>
    </comment>
    <comment ref="D25" authorId="16" shapeId="0" xr:uid="{3BCAA71D-1796-437F-B5EE-8AAF4E02826C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uniform dist is rectangular,L of 2 and area of 1 so 1/2.  (L x W =area)</t>
      </text>
    </comment>
    <comment ref="D30" authorId="17" shapeId="0" xr:uid="{70A34E45-D8F1-4A5F-849B-D373F1B27AF2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new weight parameter input</t>
      </text>
    </comment>
    <comment ref="B32" authorId="18" shapeId="0" xr:uid="{617715D3-9B48-4744-BD4A-2D12F58D9F64}">
      <text>
        <t>[Threaded comment]
Your version of Excel allows you to read this threaded comment; however, any edits to it will get removed if the file is opened in a newer version of Excel. Learn more: https://go.microsoft.com/fwlink/?linkid=870924
Comment:
    keep as original mean value</t>
      </text>
    </comment>
    <comment ref="D32" authorId="19" shapeId="0" xr:uid="{9638D367-8249-4956-9549-8E3A1ACFDFBD}">
      <text>
        <t>[Threaded comment]
Your version of Excel allows you to read this threaded comment; however, any edits to it will get removed if the file is opened in a newer version of Excel. Learn more: https://go.microsoft.com/fwlink/?linkid=870924
Comment:
    keep as original mean value</t>
      </text>
    </comment>
    <comment ref="A34" authorId="20" shapeId="0" xr:uid="{AD08575F-7ABB-425F-B2B7-AFD586371B8B}">
      <text>
        <t>[Threaded comment]
Your version of Excel allows you to read this threaded comment; however, any edits to it will get removed if the file is opened in a newer version of Excel. Learn more: https://go.microsoft.com/fwlink/?linkid=870924
Comment:
    input % converted to dec. or probability to return X.  down in the P(x&lt;a. x&gt;a) percentile slots below</t>
      </text>
    </comment>
    <comment ref="A38" authorId="21" shapeId="0" xr:uid="{FA8A236B-C17A-4800-9ECC-C6EFFB519D8E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higher endpoint comes first then the lower endpoint second</t>
      </text>
    </comment>
    <comment ref="A39" authorId="22" shapeId="0" xr:uid="{B287CB30-C780-4766-9EDD-2BEBC9C2A8C5}">
      <text>
        <t>[Threaded comment]
Your version of Excel allows you to read this threaded comment; however, any edits to it will get removed if the file is opened in a newer version of Excel. Learn more: https://go.microsoft.com/fwlink/?linkid=870924
Comment:
    1 SD from mean</t>
      </text>
    </comment>
    <comment ref="A41" authorId="23" shapeId="0" xr:uid="{6AA96875-E0C6-4F39-95EF-14F0DFD23850}">
      <text>
        <t>[Threaded comment]
Your version of Excel allows you to read this threaded comment; however, any edits to it will get removed if the file is opened in a newer version of Excel. Learn more: https://go.microsoft.com/fwlink/?linkid=870924
Comment:
    P(x&lt;a)=.05 w/2 σ</t>
      </text>
    </comment>
    <comment ref="A42" authorId="24" shapeId="0" xr:uid="{3CDCA34B-0A95-47B4-B7CC-5D7D39674A58}">
      <text>
        <t>[Threaded comment]
Your version of Excel allows you to read this threaded comment; however, any edits to it will get removed if the file is opened in a newer version of Excel. Learn more: https://go.microsoft.com/fwlink/?linkid=870924
Comment:
    p(x&gt;a)=.95 w/ 2 σ</t>
      </text>
    </comment>
    <comment ref="B43" authorId="25" shapeId="0" xr:uid="{A920EAC1-0CDA-46AB-A0C1-C4B1567BD47E}">
      <text>
        <t>[Threaded comment]
Your version of Excel allows you to read this threaded comment; however, any edits to it will get removed if the file is opened in a newer version of Excel. Learn more: https://go.microsoft.com/fwlink/?linkid=870924
Comment:
    can be lower limit output</t>
      </text>
    </comment>
    <comment ref="C43" authorId="26" shapeId="0" xr:uid="{AD5E2AC4-8484-46FC-B9D7-64B5C2AD1AF6}">
      <text>
        <t>[Threaded comment]
Your version of Excel allows you to read this threaded comment; however, any edits to it will get removed if the file is opened in a newer version of Excel. Learn more: https://go.microsoft.com/fwlink/?linkid=870924
Comment:
    can be upper limit output</t>
      </text>
    </comment>
    <comment ref="D43" authorId="27" shapeId="0" xr:uid="{F5F0B82C-5D58-4469-868A-3C5E5957E1B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 be lower limit output</t>
      </text>
    </comment>
    <comment ref="B45" authorId="28" shapeId="0" xr:uid="{ADC4B8A5-0E37-4CB0-864C-F5609FDE5A7E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sample means, plug value into sd to calculate probability for that quanitity</t>
      </text>
    </comment>
    <comment ref="D45" authorId="29" shapeId="0" xr:uid="{61B5D4B8-569F-4D0C-A288-2A2C8D6BAAB1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sample means, plug value into sd to calculate probability for that quanitity</t>
      </text>
    </comment>
    <comment ref="A53" authorId="30" shapeId="0" xr:uid="{DC2EA79D-7571-4831-9C97-C9F06C86137A}">
      <text>
        <t>[Threaded comment]
Your version of Excel allows you to read this threaded comment; however, any edits to it will get removed if the file is opened in a newer version of Excel. Learn more: https://go.microsoft.com/fwlink/?linkid=870924
Comment:
    input % converted to dec. or probability to return X.  down in the P(x&lt;a. x&gt;a) percentile slots below</t>
      </text>
    </comment>
    <comment ref="A57" authorId="31" shapeId="0" xr:uid="{ABD87BE6-38E8-4261-9483-B31843135B9D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higher endpoint comes first then the lower endpoint second</t>
      </text>
    </comment>
    <comment ref="A58" authorId="32" shapeId="0" xr:uid="{2459ADA6-7EB7-49C4-8ED0-DF1CEEDF65C0}">
      <text>
        <t>[Threaded comment]
Your version of Excel allows you to read this threaded comment; however, any edits to it will get removed if the file is opened in a newer version of Excel. Learn more: https://go.microsoft.com/fwlink/?linkid=870924
Comment:
    1 SD from mean</t>
      </text>
    </comment>
    <comment ref="A60" authorId="33" shapeId="0" xr:uid="{AAE12AD4-AA02-487F-9BE5-0625C37254B8}">
      <text>
        <t>[Threaded comment]
Your version of Excel allows you to read this threaded comment; however, any edits to it will get removed if the file is opened in a newer version of Excel. Learn more: https://go.microsoft.com/fwlink/?linkid=870924
Comment:
    P(x&lt;a)=.05 w/2 σ</t>
      </text>
    </comment>
    <comment ref="A61" authorId="34" shapeId="0" xr:uid="{4A0DAF40-3BBB-460C-8F22-7005E49D7B90}">
      <text>
        <t>[Threaded comment]
Your version of Excel allows you to read this threaded comment; however, any edits to it will get removed if the file is opened in a newer version of Excel. Learn more: https://go.microsoft.com/fwlink/?linkid=870924
Comment:
    p(x&gt;a)=.95 w/ 2 σ</t>
      </text>
    </comment>
    <comment ref="B62" authorId="35" shapeId="0" xr:uid="{232C77A7-6C53-4A7F-8B6A-9A890D977E3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 be lower limit output</t>
      </text>
    </comment>
    <comment ref="C62" authorId="36" shapeId="0" xr:uid="{E5F967F1-65A4-477D-ACAE-ECE9433079DB}">
      <text>
        <t>[Threaded comment]
Your version of Excel allows you to read this threaded comment; however, any edits to it will get removed if the file is opened in a newer version of Excel. Learn more: https://go.microsoft.com/fwlink/?linkid=870924
Comment:
    can be upper limit output</t>
      </text>
    </comment>
    <comment ref="D62" authorId="37" shapeId="0" xr:uid="{62C2CC94-2D22-41B8-8665-24B47110F78E}">
      <text>
        <t>[Threaded comment]
Your version of Excel allows you to read this threaded comment; however, any edits to it will get removed if the file is opened in a newer version of Excel. Learn more: https://go.microsoft.com/fwlink/?linkid=870924
Comment:
    can be lower limit output</t>
      </text>
    </comment>
    <comment ref="E62" authorId="38" shapeId="0" xr:uid="{D8F7E91E-580E-4A90-9DC9-F4A0C54D840E}">
      <text>
        <t>[Threaded comment]
Your version of Excel allows you to read this threaded comment; however, any edits to it will get removed if the file is opened in a newer version of Excel. Learn more: https://go.microsoft.com/fwlink/?linkid=870924
Comment:
    can be lower limit output</t>
      </text>
    </comment>
    <comment ref="B64" authorId="39" shapeId="0" xr:uid="{408712D2-07DD-4676-AF25-F4B8C0AE7795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sample means, plug value into sd to calculate probability for that quanitity</t>
      </text>
    </comment>
    <comment ref="D64" authorId="40" shapeId="0" xr:uid="{42A27B29-2720-44CE-BCD4-30AFB24B7B8E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sample means, plug value into sd to calculate probability for that quanitity</t>
      </text>
    </comment>
    <comment ref="E64" authorId="41" shapeId="0" xr:uid="{3CC01F9E-1913-4BFA-96E3-3C6C4C7F8C6C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sample means, plug value into sd to calculate probability for that quanitity</t>
      </text>
    </comment>
    <comment ref="D72" authorId="42" shapeId="0" xr:uid="{2F7DCDB6-4442-4EBE-A291-B2BAA052A2CB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uniform dist is rectangular,L of 2 and area of 1 so 1/2.  (L x W =area)</t>
      </text>
    </comment>
    <comment ref="A83" authorId="43" shapeId="0" xr:uid="{56503B07-C703-4E77-938E-45FD1374CCF4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higher endpoint comes first then the lower endpoint second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tc={7F4BD11B-1A6D-466E-8B0D-66D3BC4ACCFB}</author>
    <author>tc={34ABDE7D-D6CF-4639-AEA5-EC551289A401}</author>
  </authors>
  <commentList>
    <comment ref="D29" authorId="0" shapeId="0" xr:uid="{7F4BD11B-1A6D-466E-8B0D-66D3BC4ACCFB}">
      <text>
        <t>[Threaded comment]
Your version of Excel allows you to read this threaded comment; however, any edits to it will get removed if the file is opened in a newer version of Excel. Learn more: https://go.microsoft.com/fwlink/?linkid=870924
Comment:
    probability of 148 or less</t>
      </text>
    </comment>
    <comment ref="D30" authorId="1" shapeId="0" xr:uid="{34ABDE7D-D6CF-4639-AEA5-EC551289A401}">
      <text>
        <t>[Threaded comment]
Your version of Excel allows you to read this threaded comment; however, any edits to it will get removed if the file is opened in a newer version of Excel. Learn more: https://go.microsoft.com/fwlink/?linkid=870924
Comment:
    at least 160, (160~180)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tc={94DB8234-4521-40FD-B23E-FA12531EA31B}</author>
    <author>tc={055E783A-FA69-49F0-BC9F-547EC292F112}</author>
    <author>tc={A1CFF537-8217-4863-A68B-8F8432674CBD}</author>
    <author>tc={6AFB78F9-C380-42F2-8182-28CD3BF8ABDC}</author>
    <author>tc={E96ED1E3-3D47-415B-B526-A7A9712A14B9}</author>
    <author>tc={8C04A677-F514-4907-8535-072D656DFFCA}</author>
    <author>tc={7B18131D-AF38-403E-B31E-F63F524224EC}</author>
  </authors>
  <commentList>
    <comment ref="M5" authorId="0" shapeId="0" xr:uid="{94DB8234-4521-40FD-B23E-FA12531EA31B}">
      <text>
        <t>[Threaded comment]
Your version of Excel allows you to read this threaded comment; however, any edits to it will get removed if the file is opened in a newer version of Excel. Learn more: https://go.microsoft.com/fwlink/?linkid=870924
Comment:
    input % converted to dec. or probability to return X.  down in the P(x&lt;a. x&gt;a) percentile slots below</t>
      </text>
    </comment>
    <comment ref="M9" authorId="1" shapeId="0" xr:uid="{055E783A-FA69-49F0-BC9F-547EC292F112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higher endpoint comes first then the lower endpoint second</t>
      </text>
    </comment>
    <comment ref="M10" authorId="2" shapeId="0" xr:uid="{A1CFF537-8217-4863-A68B-8F8432674CBD}">
      <text>
        <t>[Threaded comment]
Your version of Excel allows you to read this threaded comment; however, any edits to it will get removed if the file is opened in a newer version of Excel. Learn more: https://go.microsoft.com/fwlink/?linkid=870924
Comment:
    1 SD from mean</t>
      </text>
    </comment>
    <comment ref="M12" authorId="3" shapeId="0" xr:uid="{6AFB78F9-C380-42F2-8182-28CD3BF8ABDC}">
      <text>
        <t>[Threaded comment]
Your version of Excel allows you to read this threaded comment; however, any edits to it will get removed if the file is opened in a newer version of Excel. Learn more: https://go.microsoft.com/fwlink/?linkid=870924
Comment:
    P(x&lt;a)=.05 w/2 σ</t>
      </text>
    </comment>
    <comment ref="M13" authorId="4" shapeId="0" xr:uid="{E96ED1E3-3D47-415B-B526-A7A9712A14B9}">
      <text>
        <t>[Threaded comment]
Your version of Excel allows you to read this threaded comment; however, any edits to it will get removed if the file is opened in a newer version of Excel. Learn more: https://go.microsoft.com/fwlink/?linkid=870924
Comment:
    p(x&gt;a)=.95 w/ 2 σ</t>
      </text>
    </comment>
    <comment ref="M14" authorId="5" shapeId="0" xr:uid="{8C04A677-F514-4907-8535-072D656DFFCA}">
      <text>
        <t>[Threaded comment]
Your version of Excel allows you to read this threaded comment; however, any edits to it will get removed if the file is opened in a newer version of Excel. Learn more: https://go.microsoft.com/fwlink/?linkid=870924
Comment:
    can be lower limit output</t>
      </text>
    </comment>
    <comment ref="M16" authorId="6" shapeId="0" xr:uid="{7B18131D-AF38-403E-B31E-F63F524224EC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sample means, plug value into sd to calculate probability for that quanitity</t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tc={0C0FB385-E330-490B-B18B-64D461DA343D}</author>
    <author>tc={B06164BA-52D2-4391-B703-84CE042CF1A6}</author>
  </authors>
  <commentList>
    <comment ref="A14" authorId="0" shapeId="0" xr:uid="{0C0FB385-E330-490B-B18B-64D461DA343D}">
      <text>
        <t>[Threaded comment]
Your version of Excel allows you to read this threaded comment; however, any edits to it will get removed if the file is opened in a newer version of Excel. Learn more: https://go.microsoft.com/fwlink/?linkid=870924
Comment:
    σ not known and normally distributed population or σ not known and n&gt;30</t>
      </text>
    </comment>
    <comment ref="A15" authorId="1" shapeId="0" xr:uid="{B06164BA-52D2-4391-B703-84CE042CF1A6}">
      <text>
        <t>[Threaded comment]
Your version of Excel allows you to read this threaded comment; however, any edits to it will get removed if the file is opened in a newer version of Excel. Learn more: https://go.microsoft.com/fwlink/?linkid=870924
Comment:
    σ known and normally distributed population or σ known and n&gt;30</t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tc={360C52DF-D699-4040-A1FE-43AA0C9B5DAC}</author>
    <author>tc={CC089B34-6D5E-414D-94B6-2EE720913CFC}</author>
  </authors>
  <commentList>
    <comment ref="F14" authorId="0" shapeId="0" xr:uid="{360C52DF-D699-4040-A1FE-43AA0C9B5DAC}">
      <text>
        <t>[Threaded comment]
Your version of Excel allows you to read this threaded comment; however, any edits to it will get removed if the file is opened in a newer version of Excel. Learn more: https://go.microsoft.com/fwlink/?linkid=870924
Comment:
    σ not known and normally distributed population or σ not known and n&gt;30</t>
      </text>
    </comment>
    <comment ref="F15" authorId="1" shapeId="0" xr:uid="{CC089B34-6D5E-414D-94B6-2EE720913CFC}">
      <text>
        <t>[Threaded comment]
Your version of Excel allows you to read this threaded comment; however, any edits to it will get removed if the file is opened in a newer version of Excel. Learn more: https://go.microsoft.com/fwlink/?linkid=870924
Comment:
    σ known and normally distributed population or σ known and n&gt;30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<sst xmlns="http://schemas.openxmlformats.org/spreadsheetml/2006/main" count="864" uniqueCount="363">
  <si>
    <t>p</t>
  </si>
  <si>
    <t>q</t>
  </si>
  <si>
    <r>
      <t>μ</t>
    </r>
    <r>
      <rPr>
        <vertAlign val="subscript"/>
        <sz val="11"/>
        <color theme="1"/>
        <rFont val="Calibri"/>
        <family val="2"/>
      </rPr>
      <t>(mean)</t>
    </r>
  </si>
  <si>
    <r>
      <rPr>
        <vertAlign val="subscript"/>
        <sz val="11"/>
        <color theme="1"/>
        <rFont val="Calibri"/>
        <family val="2"/>
      </rPr>
      <t>input</t>
    </r>
    <r>
      <rPr>
        <sz val="11"/>
        <color theme="1"/>
        <rFont val="Calibri"/>
        <family val="2"/>
      </rPr>
      <t xml:space="preserve"> E </t>
    </r>
    <r>
      <rPr>
        <vertAlign val="subscript"/>
        <sz val="11"/>
        <color theme="1"/>
        <rFont val="Calibri"/>
        <family val="2"/>
      </rPr>
      <t>for margin of error C.I.</t>
    </r>
  </si>
  <si>
    <r>
      <t>x</t>
    </r>
    <r>
      <rPr>
        <vertAlign val="subscript"/>
        <sz val="11"/>
        <color theme="1"/>
        <rFont val="Calibri"/>
        <family val="2"/>
      </rPr>
      <t>(sample mean/ number of successes)</t>
    </r>
  </si>
  <si>
    <t>point est of p(hat)</t>
  </si>
  <si>
    <t>n</t>
  </si>
  <si>
    <t>z</t>
  </si>
  <si>
    <t>t</t>
  </si>
  <si>
    <t>P-E(z output)</t>
  </si>
  <si>
    <t>P+E (z output)</t>
  </si>
  <si>
    <r>
      <t xml:space="preserve">N: </t>
    </r>
    <r>
      <rPr>
        <vertAlign val="subscript"/>
        <sz val="11"/>
        <color theme="1"/>
        <rFont val="Calibri"/>
        <family val="2"/>
      </rPr>
      <t>(when an estimate of P is known)</t>
    </r>
  </si>
  <si>
    <r>
      <t xml:space="preserve">N: </t>
    </r>
    <r>
      <rPr>
        <vertAlign val="subscript"/>
        <sz val="11"/>
        <color theme="1"/>
        <rFont val="Calibri"/>
        <family val="2"/>
      </rPr>
      <t xml:space="preserve">(when an estimate of P is </t>
    </r>
    <r>
      <rPr>
        <b/>
        <vertAlign val="subscript"/>
        <sz val="11"/>
        <color theme="1"/>
        <rFont val="Calibri"/>
        <family val="2"/>
      </rPr>
      <t>UN</t>
    </r>
    <r>
      <rPr>
        <vertAlign val="subscript"/>
        <sz val="11"/>
        <color theme="1"/>
        <rFont val="Calibri"/>
        <family val="2"/>
      </rPr>
      <t>known)</t>
    </r>
  </si>
  <si>
    <r>
      <rPr>
        <vertAlign val="subscript"/>
        <sz val="11"/>
        <color theme="1"/>
        <rFont val="Calibri"/>
        <family val="2"/>
      </rPr>
      <t>When σ is known</t>
    </r>
    <r>
      <rPr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</rPr>
      <t>μ</t>
    </r>
  </si>
  <si>
    <r>
      <t>σ</t>
    </r>
    <r>
      <rPr>
        <vertAlign val="subscript"/>
        <sz val="11"/>
        <color theme="1"/>
        <rFont val="Calibri"/>
        <family val="2"/>
      </rPr>
      <t>(pop SD)/</t>
    </r>
    <r>
      <rPr>
        <sz val="11"/>
        <color theme="1"/>
        <rFont val="Calibri"/>
        <family val="2"/>
      </rPr>
      <t xml:space="preserve"> s</t>
    </r>
    <r>
      <rPr>
        <vertAlign val="subscript"/>
        <sz val="11"/>
        <color theme="1"/>
        <rFont val="Calibri"/>
        <family val="2"/>
      </rPr>
      <t xml:space="preserve"> (sample SD)</t>
    </r>
  </si>
  <si>
    <r>
      <t xml:space="preserve">α (Z) </t>
    </r>
    <r>
      <rPr>
        <vertAlign val="subscript"/>
        <sz val="11"/>
        <color theme="1"/>
        <rFont val="Calibri"/>
        <family val="2"/>
      </rPr>
      <t>Clear after each FXN</t>
    </r>
  </si>
  <si>
    <r>
      <t xml:space="preserve">α (t) </t>
    </r>
    <r>
      <rPr>
        <vertAlign val="subscript"/>
        <sz val="11"/>
        <color theme="1"/>
        <rFont val="Calibri"/>
        <family val="2"/>
      </rPr>
      <t>Clear after each FXN</t>
    </r>
  </si>
  <si>
    <r>
      <rPr>
        <vertAlign val="subscript"/>
        <sz val="11"/>
        <color theme="1"/>
        <rFont val="Calibri"/>
        <family val="2"/>
      </rPr>
      <t xml:space="preserve">(can also be sample mean) </t>
    </r>
    <r>
      <rPr>
        <sz val="11"/>
        <color theme="1"/>
        <rFont val="Calibri"/>
        <family val="2"/>
      </rPr>
      <t>μ-E</t>
    </r>
  </si>
  <si>
    <r>
      <rPr>
        <vertAlign val="subscript"/>
        <sz val="11"/>
        <color theme="1"/>
        <rFont val="Calibri"/>
        <family val="2"/>
      </rPr>
      <t xml:space="preserve">(can also be sample mean) </t>
    </r>
    <r>
      <rPr>
        <sz val="11"/>
        <color theme="1"/>
        <rFont val="Calibri"/>
        <family val="2"/>
      </rPr>
      <t>μ+E</t>
    </r>
  </si>
  <si>
    <r>
      <t xml:space="preserve">E </t>
    </r>
    <r>
      <rPr>
        <vertAlign val="subscript"/>
        <sz val="11"/>
        <color theme="1"/>
        <rFont val="Calibri"/>
        <family val="2"/>
      </rPr>
      <t>(output for p)</t>
    </r>
  </si>
  <si>
    <t>z score</t>
  </si>
  <si>
    <t>1-P, mean(0), Sd(1)</t>
  </si>
  <si>
    <t>x (can be lower limit)</t>
  </si>
  <si>
    <t>to find Z</t>
  </si>
  <si>
    <t>c  (upper limit)</t>
  </si>
  <si>
    <t>mean (μ)</t>
  </si>
  <si>
    <t>SD (σ)</t>
  </si>
  <si>
    <t>P</t>
  </si>
  <si>
    <t>n=</t>
  </si>
  <si>
    <t>normal Distribution Left</t>
  </si>
  <si>
    <t>p=</t>
  </si>
  <si>
    <t>area to the left of (X),(a&lt;X)</t>
  </si>
  <si>
    <t>q=</t>
  </si>
  <si>
    <t>area to the right of (X), (X&lt;a)</t>
  </si>
  <si>
    <t>μ=</t>
  </si>
  <si>
    <t>In between LL &amp; UL</t>
  </si>
  <si>
    <t>σ=</t>
  </si>
  <si>
    <t>P(x&lt;a)= 5 percentile</t>
  </si>
  <si>
    <t>P(x&gt;a)= 95th percentile</t>
  </si>
  <si>
    <t>Lower Z-score range</t>
  </si>
  <si>
    <t>Upper Z-Score range</t>
  </si>
  <si>
    <t>x given probability</t>
  </si>
  <si>
    <t>n sample size</t>
  </si>
  <si>
    <t xml:space="preserve"> σ distribution of sample σ/Std Error</t>
  </si>
  <si>
    <t>x</t>
  </si>
  <si>
    <t>n more than x</t>
  </si>
  <si>
    <t>P(x)</t>
  </si>
  <si>
    <t>x*P(x)</t>
  </si>
  <si>
    <t>Mean</t>
  </si>
  <si>
    <r>
      <t>(x-</t>
    </r>
    <r>
      <rPr>
        <sz val="11"/>
        <color theme="1"/>
        <rFont val="Calibri"/>
        <family val="2"/>
      </rPr>
      <t>μ</t>
    </r>
    <r>
      <rPr>
        <sz val="11"/>
        <color theme="1"/>
        <rFont val="Calibri"/>
        <family val="2"/>
        <scheme val="minor"/>
      </rPr>
      <t>)^2*P(x)</t>
    </r>
  </si>
  <si>
    <t>Variance</t>
  </si>
  <si>
    <t>Std Dev</t>
  </si>
  <si>
    <t>classes(x)</t>
  </si>
  <si>
    <t>students</t>
  </si>
  <si>
    <t>p(x)</t>
  </si>
  <si>
    <t>x*p(x)</t>
  </si>
  <si>
    <t>sum of x*p(x)</t>
  </si>
  <si>
    <r>
      <rPr>
        <vertAlign val="subscript"/>
        <sz val="11"/>
        <color theme="1"/>
        <rFont val="Calibri"/>
        <family val="2"/>
      </rPr>
      <t xml:space="preserve">(can also be sample mean) </t>
    </r>
    <r>
      <rPr>
        <sz val="11"/>
        <color theme="1"/>
        <rFont val="Calibri"/>
        <family val="2"/>
      </rPr>
      <t>μ(x)-E</t>
    </r>
  </si>
  <si>
    <r>
      <rPr>
        <vertAlign val="subscript"/>
        <sz val="11"/>
        <color theme="1"/>
        <rFont val="Calibri"/>
        <family val="2"/>
      </rPr>
      <t xml:space="preserve">(can also be sample mean) </t>
    </r>
    <r>
      <rPr>
        <sz val="11"/>
        <color theme="1"/>
        <rFont val="Calibri"/>
        <family val="2"/>
      </rPr>
      <t>μ(x)+E</t>
    </r>
  </si>
  <si>
    <t>Restaurant X</t>
  </si>
  <si>
    <t>Restaurant Y</t>
  </si>
  <si>
    <t>PRESIDENT</t>
  </si>
  <si>
    <t>HEIGHT</t>
  </si>
  <si>
    <t>HEIGHT OPP</t>
  </si>
  <si>
    <t>Clinton</t>
  </si>
  <si>
    <t>Reagan</t>
  </si>
  <si>
    <t>Buchanan</t>
  </si>
  <si>
    <t>Jackson</t>
  </si>
  <si>
    <t>Cleveland</t>
  </si>
  <si>
    <t>Polk</t>
  </si>
  <si>
    <t>T. Roosevelt</t>
  </si>
  <si>
    <t>Garfield</t>
  </si>
  <si>
    <t>Eisenhower</t>
  </si>
  <si>
    <t>F. Roosevelt</t>
  </si>
  <si>
    <t>Nixon</t>
  </si>
  <si>
    <t>Pierce</t>
  </si>
  <si>
    <t>Wilson</t>
  </si>
  <si>
    <t>Carter</t>
  </si>
  <si>
    <t>Coolidge</t>
  </si>
  <si>
    <t>G. H. W. Bush</t>
  </si>
  <si>
    <t>Taft</t>
  </si>
  <si>
    <t>Van Buren</t>
  </si>
  <si>
    <t>Hoover</t>
  </si>
  <si>
    <t>Lincoln</t>
  </si>
  <si>
    <t xml:space="preserve">SD = </t>
  </si>
  <si>
    <t>Count =</t>
  </si>
  <si>
    <t>Mean =</t>
  </si>
  <si>
    <r>
      <t>P(H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)</t>
    </r>
  </si>
  <si>
    <t>P(hat)</t>
  </si>
  <si>
    <t>q(hat)</t>
  </si>
  <si>
    <r>
      <rPr>
        <vertAlign val="subscript"/>
        <sz val="11"/>
        <color theme="1"/>
        <rFont val="Calibri"/>
        <family val="2"/>
      </rPr>
      <t xml:space="preserve">(level of significance) </t>
    </r>
    <r>
      <rPr>
        <sz val="11"/>
        <color theme="1"/>
        <rFont val="Calibri"/>
        <family val="2"/>
      </rPr>
      <t xml:space="preserve">α = </t>
    </r>
  </si>
  <si>
    <t xml:space="preserve">n = </t>
  </si>
  <si>
    <t>P value=</t>
  </si>
  <si>
    <t>rejection test</t>
  </si>
  <si>
    <t>interpretation</t>
  </si>
  <si>
    <t>2-Tail Rejection Test</t>
  </si>
  <si>
    <r>
      <rPr>
        <vertAlign val="subscript"/>
        <sz val="11"/>
        <color theme="1"/>
        <rFont val="Calibri"/>
        <family val="2"/>
        <scheme val="minor"/>
      </rPr>
      <t>SD</t>
    </r>
    <r>
      <rPr>
        <sz val="11"/>
        <color theme="1"/>
        <rFont val="Calibri"/>
        <family val="2"/>
        <scheme val="minor"/>
      </rPr>
      <t>, s</t>
    </r>
    <r>
      <rPr>
        <vertAlign val="subscript"/>
        <sz val="11"/>
        <color theme="1"/>
        <rFont val="Calibri"/>
        <family val="2"/>
        <scheme val="minor"/>
      </rPr>
      <t>(sample)</t>
    </r>
  </si>
  <si>
    <r>
      <t>σ</t>
    </r>
    <r>
      <rPr>
        <vertAlign val="subscript"/>
        <sz val="11"/>
        <color theme="1"/>
        <rFont val="Calibri"/>
        <family val="2"/>
        <scheme val="minor"/>
      </rPr>
      <t>(pop SD)</t>
    </r>
  </si>
  <si>
    <r>
      <t>x</t>
    </r>
    <r>
      <rPr>
        <vertAlign val="subscript"/>
        <sz val="11"/>
        <color theme="1"/>
        <rFont val="Calibri"/>
        <family val="2"/>
      </rPr>
      <t>(sample mean)</t>
    </r>
  </si>
  <si>
    <r>
      <rPr>
        <vertAlign val="subscript"/>
        <sz val="11"/>
        <color theme="1"/>
        <rFont val="Calibri"/>
        <family val="2"/>
        <scheme val="minor"/>
      </rPr>
      <t xml:space="preserve">(pop Mean) </t>
    </r>
    <r>
      <rPr>
        <sz val="11"/>
        <color theme="1"/>
        <rFont val="Calibri"/>
        <family val="2"/>
        <scheme val="minor"/>
      </rPr>
      <t>μ</t>
    </r>
  </si>
  <si>
    <r>
      <rPr>
        <b/>
        <vertAlign val="subscript"/>
        <sz val="11"/>
        <color theme="1"/>
        <rFont val="Calibri"/>
        <family val="2"/>
        <scheme val="minor"/>
      </rPr>
      <t>Test Statistic</t>
    </r>
    <r>
      <rPr>
        <sz val="11"/>
        <color theme="1"/>
        <rFont val="Calibri"/>
        <family val="2"/>
        <scheme val="minor"/>
      </rPr>
      <t xml:space="preserve">mean </t>
    </r>
    <r>
      <rPr>
        <sz val="11"/>
        <color theme="1"/>
        <rFont val="Calibri"/>
        <family val="2"/>
      </rPr>
      <t>μ (t)=</t>
    </r>
  </si>
  <si>
    <r>
      <rPr>
        <b/>
        <vertAlign val="subscript"/>
        <sz val="11"/>
        <color theme="1"/>
        <rFont val="Calibri"/>
        <family val="2"/>
        <scheme val="minor"/>
      </rPr>
      <t>Test Statistic</t>
    </r>
    <r>
      <rPr>
        <sz val="11"/>
        <color theme="1"/>
        <rFont val="Calibri"/>
        <family val="2"/>
        <scheme val="minor"/>
      </rPr>
      <t>mean μ (z)=</t>
    </r>
  </si>
  <si>
    <r>
      <t>Z</t>
    </r>
    <r>
      <rPr>
        <vertAlign val="subscript"/>
        <sz val="11"/>
        <color theme="1"/>
        <rFont val="Calibri"/>
        <family val="2"/>
        <scheme val="minor"/>
      </rPr>
      <t>input test(@x) area to the left</t>
    </r>
  </si>
  <si>
    <r>
      <t>Z</t>
    </r>
    <r>
      <rPr>
        <vertAlign val="subscript"/>
        <sz val="11"/>
        <color theme="1"/>
        <rFont val="Calibri"/>
        <family val="2"/>
        <scheme val="minor"/>
      </rPr>
      <t>input test(@x) area to the right</t>
    </r>
  </si>
  <si>
    <r>
      <rPr>
        <vertAlign val="subscript"/>
        <sz val="11"/>
        <color theme="1"/>
        <rFont val="Calibri"/>
        <family val="2"/>
        <scheme val="minor"/>
      </rPr>
      <t>(test statistic)</t>
    </r>
    <r>
      <rPr>
        <sz val="11"/>
        <color theme="1"/>
        <rFont val="Calibri"/>
        <family val="2"/>
        <scheme val="minor"/>
      </rPr>
      <t xml:space="preserve"> P (z)=</t>
    </r>
  </si>
  <si>
    <t>S</t>
  </si>
  <si>
    <r>
      <t xml:space="preserve">&lt;&gt;test </t>
    </r>
    <r>
      <rPr>
        <vertAlign val="subscript"/>
        <sz val="11"/>
        <color theme="1"/>
        <rFont val="Calibri"/>
        <family val="2"/>
        <scheme val="minor"/>
      </rPr>
      <t>forP(H0) and Zinput@x</t>
    </r>
  </si>
  <si>
    <r>
      <t>H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: </t>
    </r>
    <r>
      <rPr>
        <sz val="11"/>
        <color theme="1"/>
        <rFont val="Calibri"/>
        <family val="2"/>
      </rPr>
      <t>μ</t>
    </r>
    <r>
      <rPr>
        <i/>
        <vertAlign val="subscript"/>
        <sz val="11"/>
        <color theme="1"/>
        <rFont val="Calibri"/>
        <family val="2"/>
        <scheme val="minor"/>
      </rPr>
      <t>d</t>
    </r>
  </si>
  <si>
    <t>=</t>
  </si>
  <si>
    <r>
      <t>H</t>
    </r>
    <r>
      <rPr>
        <vertAlign val="subscript"/>
        <sz val="11"/>
        <color theme="1"/>
        <rFont val="Calibri"/>
        <family val="2"/>
      </rPr>
      <t>α</t>
    </r>
    <r>
      <rPr>
        <sz val="11"/>
        <color theme="1"/>
        <rFont val="Calibri"/>
        <family val="2"/>
        <scheme val="minor"/>
      </rPr>
      <t xml:space="preserve">: </t>
    </r>
    <r>
      <rPr>
        <sz val="11"/>
        <color theme="1"/>
        <rFont val="Calibri"/>
        <family val="2"/>
      </rPr>
      <t>μ</t>
    </r>
    <r>
      <rPr>
        <i/>
        <vertAlign val="subscript"/>
        <sz val="11"/>
        <color theme="1"/>
        <rFont val="Calibri"/>
        <family val="2"/>
        <scheme val="minor"/>
      </rPr>
      <t>d</t>
    </r>
  </si>
  <si>
    <t>α</t>
  </si>
  <si>
    <r>
      <t>t</t>
    </r>
    <r>
      <rPr>
        <vertAlign val="subscript"/>
        <sz val="11"/>
        <color theme="1"/>
        <rFont val="Calibri"/>
        <family val="2"/>
      </rPr>
      <t>a/2</t>
    </r>
    <r>
      <rPr>
        <sz val="11"/>
        <color theme="1"/>
        <rFont val="Calibri"/>
        <family val="2"/>
      </rPr>
      <t xml:space="preserve">   </t>
    </r>
    <r>
      <rPr>
        <vertAlign val="subscript"/>
        <sz val="11"/>
        <color theme="1"/>
        <rFont val="Calibri"/>
        <family val="2"/>
      </rPr>
      <t>(for E calculation)</t>
    </r>
  </si>
  <si>
    <t>d.f</t>
  </si>
  <si>
    <r>
      <t xml:space="preserve">d(bar) </t>
    </r>
    <r>
      <rPr>
        <vertAlign val="subscript"/>
        <sz val="11"/>
        <color theme="1"/>
        <rFont val="Calibri"/>
        <family val="2"/>
        <scheme val="minor"/>
      </rPr>
      <t>(mean) (avg)</t>
    </r>
  </si>
  <si>
    <r>
      <t>s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= </t>
    </r>
  </si>
  <si>
    <r>
      <t xml:space="preserve">T </t>
    </r>
    <r>
      <rPr>
        <vertAlign val="subscript"/>
        <sz val="11"/>
        <color theme="1"/>
        <rFont val="Calibri"/>
        <family val="2"/>
        <scheme val="minor"/>
      </rPr>
      <t>(test statistic)</t>
    </r>
    <r>
      <rPr>
        <sz val="11"/>
        <color theme="1"/>
        <rFont val="Calibri"/>
        <family val="2"/>
        <scheme val="minor"/>
      </rPr>
      <t xml:space="preserve">= </t>
    </r>
  </si>
  <si>
    <t>sts &gt; t</t>
  </si>
  <si>
    <r>
      <t xml:space="preserve">t </t>
    </r>
    <r>
      <rPr>
        <vertAlign val="subscript"/>
        <sz val="11"/>
        <color theme="1"/>
        <rFont val="Calibri"/>
        <family val="2"/>
        <scheme val="minor"/>
      </rPr>
      <t>(critical value)</t>
    </r>
    <r>
      <rPr>
        <sz val="11"/>
        <color theme="1"/>
        <rFont val="Calibri"/>
        <family val="2"/>
        <scheme val="minor"/>
      </rPr>
      <t xml:space="preserve"> 2T</t>
    </r>
  </si>
  <si>
    <t>Pvalue</t>
  </si>
  <si>
    <t>E=</t>
  </si>
  <si>
    <r>
      <t>d(bar) - E</t>
    </r>
    <r>
      <rPr>
        <vertAlign val="subscript"/>
        <sz val="11"/>
        <color theme="1"/>
        <rFont val="Calibri"/>
        <family val="2"/>
        <scheme val="minor"/>
      </rPr>
      <t>(conf. intvl)</t>
    </r>
  </si>
  <si>
    <r>
      <t>d(bar) + E</t>
    </r>
    <r>
      <rPr>
        <vertAlign val="subscript"/>
        <sz val="11"/>
        <color theme="1"/>
        <rFont val="Calibri"/>
        <family val="2"/>
        <scheme val="minor"/>
      </rPr>
      <t>(conf. intvl)</t>
    </r>
  </si>
  <si>
    <t>Household</t>
  </si>
  <si>
    <t>Difference</t>
  </si>
  <si>
    <t>​ | t​ | (Critical​ value)</t>
  </si>
  <si>
    <t>DF</t>
  </si>
  <si>
    <t>​ p-value (Two-tailed)</t>
  </si>
  <si>
    <t>alpha</t>
  </si>
  <si>
    <t>&lt;.0001</t>
  </si>
  <si>
    <t>tst</t>
  </si>
  <si>
    <t>t​ (Observed value) T stat</t>
  </si>
  <si>
    <t>&lt;</t>
  </si>
  <si>
    <t>Right_arm(mm_Hg)</t>
  </si>
  <si>
    <t>Left_arm(mm_Hg)</t>
  </si>
  <si>
    <t>T Critical Value</t>
  </si>
  <si>
    <t>D.F</t>
  </si>
  <si>
    <t>P val 2 tail</t>
  </si>
  <si>
    <t>Alpha</t>
  </si>
  <si>
    <r>
      <t>t</t>
    </r>
    <r>
      <rPr>
        <vertAlign val="subscript"/>
        <sz val="11"/>
        <color theme="1"/>
        <rFont val="Calibri"/>
        <family val="2"/>
        <scheme val="minor"/>
      </rPr>
      <t>(obs. Val) Test Stat</t>
    </r>
  </si>
  <si>
    <t>s</t>
  </si>
  <si>
    <t>Pulse Rates (bpm)</t>
  </si>
  <si>
    <t>U&lt; 6.0</t>
  </si>
  <si>
    <t>t=-2.262160</t>
  </si>
  <si>
    <t>p=0.014079</t>
  </si>
  <si>
    <t>x=5.46</t>
  </si>
  <si>
    <t>n=50</t>
  </si>
  <si>
    <t>Sx(sample Std dev.=1.678934</t>
  </si>
  <si>
    <t>Paper</t>
  </si>
  <si>
    <t>Plastic</t>
  </si>
  <si>
    <t>Z-score</t>
  </si>
  <si>
    <r>
      <t xml:space="preserve">α </t>
    </r>
    <r>
      <rPr>
        <vertAlign val="subscript"/>
        <sz val="11"/>
        <color theme="1"/>
        <rFont val="Calibri"/>
        <family val="2"/>
      </rPr>
      <t>(insert below)</t>
    </r>
  </si>
  <si>
    <t>z-score from above</t>
  </si>
  <si>
    <t>Critical Values for the Correlation Coefficient</t>
  </si>
  <si>
    <t>alpha = .05</t>
  </si>
  <si>
    <t>alpha = .01</t>
  </si>
  <si>
    <t>Note: To test H subscript 0: rho equals 0 against H subscript 1: rho not equal to 0, reject H subscript 0 if the absolute value of r is greater than the critical value in the table.</t>
  </si>
  <si>
    <t>y</t>
  </si>
  <si>
    <t>correl</t>
  </si>
  <si>
    <t>critical val for 11: -0.602 ~ 0.602</t>
  </si>
  <si>
    <t>What does the symbol Y(hat) represent?</t>
  </si>
  <si>
    <t>q6</t>
  </si>
  <si>
    <t>Q7</t>
  </si>
  <si>
    <t>Y(hat)= 3.33 + 0.474x</t>
  </si>
  <si>
    <t>Q8</t>
  </si>
  <si>
    <t>Chest_size_(inches)</t>
  </si>
  <si>
    <t>Weight_ (pounds)</t>
  </si>
  <si>
    <t>Q9</t>
  </si>
  <si>
    <t>Overhead_Width_(cm)</t>
  </si>
  <si>
    <t>Weight_(kg)</t>
  </si>
  <si>
    <t>C.V. @ 0.05</t>
  </si>
  <si>
    <t xml:space="preserve">The prediction cannot be correct because a negative weight does not make sense. The width in this case is beyond the scope of the available sample data. </t>
  </si>
  <si>
    <t>Q10</t>
  </si>
  <si>
    <t>Salary_(millions_of_$)</t>
  </si>
  <si>
    <t>Viewers_(millions)</t>
  </si>
  <si>
    <t>correl=</t>
  </si>
  <si>
    <t>10.1..something</t>
  </si>
  <si>
    <t xml:space="preserve">correl </t>
  </si>
  <si>
    <t>critical val</t>
  </si>
  <si>
    <t>Cv: -0.632~632</t>
  </si>
  <si>
    <t>critical region= -0.893 &lt; -0.632</t>
  </si>
  <si>
    <t>What do you conclude about the possible effect from a single pair of​ values?</t>
  </si>
  <si>
    <t>The effect from a single pair of values can change the conclusion.</t>
  </si>
  <si>
    <t>Find the best predicted value of y ​(attractiveness rating by female of​ male)</t>
  </si>
  <si>
    <t>for a date in which the attractiveness rating by the male of the female is x=5. Use a 0.05 significance level</t>
  </si>
  <si>
    <t>n50</t>
  </si>
  <si>
    <t>y=-0.360x+8.20 or Y=8.20-0.360x</t>
  </si>
  <si>
    <t>10.2.9</t>
  </si>
  <si>
    <t>y=1.2x+3.6018 or y=3.6018 + 1.2x</t>
  </si>
  <si>
    <t>10.2.13</t>
  </si>
  <si>
    <t>y=11.892x-227.14 or Y=-227.14+11.892x</t>
  </si>
  <si>
    <t>10.2.22</t>
  </si>
  <si>
    <t>Chirps in 1 min</t>
  </si>
  <si>
    <t>Temperature (°F)</t>
  </si>
  <si>
    <t>Correl=</t>
  </si>
  <si>
    <t>y= 0.0525x+24.464 or y= 24.46+ .0525x</t>
  </si>
  <si>
    <t>the one attached to the x is the x coeficient)</t>
  </si>
  <si>
    <t>Weighted Average:</t>
  </si>
  <si>
    <t>Weight sum:</t>
  </si>
  <si>
    <t>QP Sum:</t>
  </si>
  <si>
    <t>F</t>
  </si>
  <si>
    <t>C</t>
  </si>
  <si>
    <t>B</t>
  </si>
  <si>
    <t>A</t>
  </si>
  <si>
    <t>QP x Weight</t>
  </si>
  <si>
    <t>Weight</t>
  </si>
  <si>
    <t>Quality Points</t>
  </si>
  <si>
    <t>Grade</t>
  </si>
  <si>
    <t>net profit</t>
  </si>
  <si>
    <t>Loss</t>
  </si>
  <si>
    <t>Odds 1</t>
  </si>
  <si>
    <t>Odds 2</t>
  </si>
  <si>
    <t>expected value</t>
  </si>
  <si>
    <t>M</t>
  </si>
  <si>
    <t>The bet with the greater expected earnings is the better bet.</t>
  </si>
  <si>
    <t>$5 is the net profit from the 3/38 roulette</t>
  </si>
  <si>
    <t>1st odds</t>
  </si>
  <si>
    <t>roulette slots</t>
  </si>
  <si>
    <t>2nd odds</t>
  </si>
  <si>
    <t>expected value for a single number</t>
  </si>
  <si>
    <t>Profit * odds+(possible loss*odds)</t>
  </si>
  <si>
    <t>smartphones</t>
  </si>
  <si>
    <t>Mean=</t>
  </si>
  <si>
    <t>probability=</t>
  </si>
  <si>
    <t>smartphones pt 2</t>
  </si>
  <si>
    <t>Exact position probability function</t>
  </si>
  <si>
    <t>Answer</t>
  </si>
  <si>
    <t>μ, mean</t>
  </si>
  <si>
    <t>n(TTL)</t>
  </si>
  <si>
    <t>σ2</t>
  </si>
  <si>
    <t>x(count of successes)</t>
  </si>
  <si>
    <t>SD</t>
  </si>
  <si>
    <t>(μ-2σ)</t>
  </si>
  <si>
    <t>q(1-p)</t>
  </si>
  <si>
    <t>(μ+2σ)</t>
  </si>
  <si>
    <t>cell phones with fewer than expression</t>
  </si>
  <si>
    <t>Births for couples</t>
  </si>
  <si>
    <t>Peas probabilities</t>
  </si>
  <si>
    <t>Reincarnation</t>
  </si>
  <si>
    <t>tattoo</t>
  </si>
  <si>
    <t>exactly x believe</t>
  </si>
  <si>
    <t>if it is greater than 0.05 it is a no….</t>
  </si>
  <si>
    <t>acceptance and rejections</t>
  </si>
  <si>
    <t>*if one or none is bad</t>
  </si>
  <si>
    <t>accepted</t>
  </si>
  <si>
    <t>Rejected</t>
  </si>
  <si>
    <t>x 100%</t>
  </si>
  <si>
    <t xml:space="preserve">binom </t>
  </si>
  <si>
    <t>pick 3 lottery</t>
  </si>
  <si>
    <t>np</t>
  </si>
  <si>
    <t>npq</t>
  </si>
  <si>
    <t>sqrt (npq)</t>
  </si>
  <si>
    <t xml:space="preserve">z score  </t>
  </si>
  <si>
    <t>.</t>
  </si>
  <si>
    <t>area to the left of (X),(&lt;X)</t>
  </si>
  <si>
    <t>area to the left of (X)</t>
  </si>
  <si>
    <t>area to the right of (X), (&gt;X)</t>
  </si>
  <si>
    <t>area to the right of (X)</t>
  </si>
  <si>
    <t>P(a &lt; x &lt; b)</t>
  </si>
  <si>
    <t xml:space="preserve"> σ distribution of sample σ</t>
  </si>
  <si>
    <t>finding the probability of x</t>
  </si>
  <si>
    <t>Finding the probabilities between X &amp; C</t>
  </si>
  <si>
    <t>P(less than x)</t>
  </si>
  <si>
    <t>lower limit</t>
  </si>
  <si>
    <t>P (greater than x )</t>
  </si>
  <si>
    <t>upper limit</t>
  </si>
  <si>
    <t>n (total event)</t>
  </si>
  <si>
    <t>total event</t>
  </si>
  <si>
    <t>X1  lower limit</t>
  </si>
  <si>
    <t>height sd/n</t>
  </si>
  <si>
    <t>X2 upper limit</t>
  </si>
  <si>
    <t>length of shaded area</t>
  </si>
  <si>
    <t>height</t>
  </si>
  <si>
    <t>P between X1&amp;X2</t>
  </si>
  <si>
    <t>Gondola w new weights and capacities</t>
  </si>
  <si>
    <t>mean</t>
  </si>
  <si>
    <t>normal Distribution</t>
  </si>
  <si>
    <t>less than X</t>
  </si>
  <si>
    <t>more than x</t>
  </si>
  <si>
    <t>between x and c</t>
  </si>
  <si>
    <t>Ch 2 HW</t>
  </si>
  <si>
    <t>classes</t>
  </si>
  <si>
    <t>Class width</t>
  </si>
  <si>
    <t>LCL</t>
  </si>
  <si>
    <t>UCL</t>
  </si>
  <si>
    <t>Class midpoints</t>
  </si>
  <si>
    <t>class boundaries</t>
  </si>
  <si>
    <t>Relative Freq.</t>
  </si>
  <si>
    <t>to create a graph, input is the A column data, the bin is the UCL</t>
  </si>
  <si>
    <t>BMI</t>
  </si>
  <si>
    <t>Frequency</t>
  </si>
  <si>
    <t>More</t>
  </si>
  <si>
    <t>Class</t>
  </si>
  <si>
    <t>Class Width</t>
  </si>
  <si>
    <t>Class Midpoints</t>
  </si>
  <si>
    <t>Boundaries</t>
  </si>
  <si>
    <t>Bin</t>
  </si>
  <si>
    <t>width</t>
  </si>
  <si>
    <t>1.47</t>
  </si>
  <si>
    <t>μ, mean(np)</t>
  </si>
  <si>
    <t>σ2(npq)</t>
  </si>
  <si>
    <t>SD(sqrt(npq))</t>
  </si>
  <si>
    <t>how many boards if you don't want to make 2 trips</t>
  </si>
  <si>
    <t>(μ+3σ)</t>
  </si>
  <si>
    <t>(μ-3σ)</t>
  </si>
  <si>
    <t>P(x)a≤x (0≤148 boards)</t>
  </si>
  <si>
    <t>P(x)12-15 boards</t>
  </si>
  <si>
    <r>
      <t>P(x) x</t>
    </r>
    <r>
      <rPr>
        <b/>
        <sz val="11"/>
        <color theme="1"/>
        <rFont val="Calibri"/>
        <family val="2"/>
      </rPr>
      <t>≤ a  (160-180)</t>
    </r>
  </si>
  <si>
    <r>
      <t xml:space="preserve">P(x) a </t>
    </r>
    <r>
      <rPr>
        <b/>
        <sz val="11"/>
        <color theme="1"/>
        <rFont val="Calibri"/>
        <family val="2"/>
      </rPr>
      <t>≤ x</t>
    </r>
  </si>
  <si>
    <t>P(9) a = x</t>
  </si>
  <si>
    <t>p(12) a=x</t>
  </si>
  <si>
    <t>binom range 160-180</t>
  </si>
  <si>
    <t>a&gt;x</t>
  </si>
  <si>
    <t>binom range 0-148</t>
  </si>
  <si>
    <t>a&lt;x</t>
  </si>
  <si>
    <t>Binomial @x</t>
  </si>
  <si>
    <t>P(x)=</t>
  </si>
  <si>
    <t>=((FACT(B1))/(((FACT(B1-B2))* FACT( B2)))*(B3^B2)*B4^(B1-B2))      B1:n,B2:x,B3:p,B4q</t>
  </si>
  <si>
    <t xml:space="preserve">x=a </t>
  </si>
  <si>
    <t>probability of finishing without more boards</t>
  </si>
  <si>
    <r>
      <t xml:space="preserve">x </t>
    </r>
    <r>
      <rPr>
        <sz val="11"/>
        <color theme="1"/>
        <rFont val="Calibri"/>
        <family val="2"/>
      </rPr>
      <t>≤ a (x)</t>
    </r>
  </si>
  <si>
    <t xml:space="preserve"> x ≥ a </t>
  </si>
  <si>
    <t>0a&lt; x&lt; b148</t>
  </si>
  <si>
    <t>X=148</t>
  </si>
  <si>
    <t>probability</t>
  </si>
  <si>
    <t>2+sd</t>
  </si>
  <si>
    <t>3+ sd</t>
  </si>
  <si>
    <r>
      <t xml:space="preserve">at x </t>
    </r>
    <r>
      <rPr>
        <sz val="11"/>
        <color theme="1"/>
        <rFont val="Calibri"/>
        <family val="2"/>
      </rPr>
      <t>≤</t>
    </r>
    <r>
      <rPr>
        <sz val="11"/>
        <color theme="1"/>
        <rFont val="Calibri"/>
        <family val="2"/>
        <scheme val="minor"/>
      </rPr>
      <t xml:space="preserve"> a (9)</t>
    </r>
  </si>
  <si>
    <r>
      <t xml:space="preserve">x </t>
    </r>
    <r>
      <rPr>
        <sz val="11"/>
        <color theme="1"/>
        <rFont val="Calibri"/>
        <family val="2"/>
      </rPr>
      <t>≤</t>
    </r>
    <r>
      <rPr>
        <sz val="11"/>
        <color theme="1"/>
        <rFont val="Calibri"/>
        <family val="2"/>
        <scheme val="minor"/>
      </rPr>
      <t xml:space="preserve"> a   12</t>
    </r>
  </si>
  <si>
    <r>
      <t xml:space="preserve">x = </t>
    </r>
    <r>
      <rPr>
        <sz val="11"/>
        <color theme="1"/>
        <rFont val="Calibri"/>
        <family val="2"/>
      </rPr>
      <t>a</t>
    </r>
    <r>
      <rPr>
        <sz val="11"/>
        <color theme="1"/>
        <rFont val="Calibri"/>
        <family val="2"/>
        <scheme val="minor"/>
      </rPr>
      <t xml:space="preserve">    (12)</t>
    </r>
  </si>
  <si>
    <r>
      <t xml:space="preserve">x </t>
    </r>
    <r>
      <rPr>
        <sz val="11"/>
        <color theme="1"/>
        <rFont val="Calibri"/>
        <family val="2"/>
      </rPr>
      <t>≤</t>
    </r>
    <r>
      <rPr>
        <sz val="11"/>
        <color theme="1"/>
        <rFont val="Calibri"/>
        <family val="2"/>
        <scheme val="minor"/>
      </rPr>
      <t xml:space="preserve"> a   (12)</t>
    </r>
  </si>
  <si>
    <r>
      <t>x</t>
    </r>
    <r>
      <rPr>
        <sz val="11"/>
        <color theme="1"/>
        <rFont val="Calibri"/>
        <family val="2"/>
      </rPr>
      <t>≥ a (12)</t>
    </r>
  </si>
  <si>
    <t>hits</t>
  </si>
  <si>
    <t>guess</t>
  </si>
  <si>
    <t>Actual</t>
  </si>
  <si>
    <t>hit/miss</t>
  </si>
  <si>
    <t>No. Classes</t>
  </si>
  <si>
    <t>Range</t>
  </si>
  <si>
    <t>=MAX(A:A)-MIN(A:A)</t>
  </si>
  <si>
    <t>=D2/D1</t>
  </si>
  <si>
    <t>Use</t>
  </si>
  <si>
    <t>7 to 20</t>
  </si>
  <si>
    <t>21 to 34</t>
  </si>
  <si>
    <t>35 to 48</t>
  </si>
  <si>
    <t>49 to 62</t>
  </si>
  <si>
    <t>63 to 76</t>
  </si>
  <si>
    <t>77 to 90</t>
  </si>
  <si>
    <t>4wd</t>
  </si>
  <si>
    <t>fwd</t>
  </si>
  <si>
    <t>rwd</t>
  </si>
  <si>
    <t>ttl</t>
  </si>
  <si>
    <t>cylinders</t>
  </si>
  <si>
    <t>p of an 8 cyl and 4wd?</t>
  </si>
  <si>
    <t>given rwd, rdm select a 6cyl one</t>
  </si>
  <si>
    <t>a college with 65 police report 181 crimes does this model over or under predict the number of crimes committed?    R= .9016,   Y(hat)=1.727x+64.05</t>
  </si>
  <si>
    <t>genetic defect in 6% of pop, random sample of 76</t>
  </si>
  <si>
    <t>pro that 7 or more have defect</t>
  </si>
  <si>
    <t>x=</t>
  </si>
  <si>
    <t>calculate P-value</t>
  </si>
  <si>
    <t>test stat T</t>
  </si>
  <si>
    <t>Residual</t>
  </si>
  <si>
    <t>Organic</t>
  </si>
  <si>
    <t>conventional</t>
  </si>
  <si>
    <t>72% of 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</si>
</sst>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000"/>
    <numFmt numFmtId="165" formatCode="0.000"/>
    <numFmt numFmtId="166" formatCode="0.0"/>
    <numFmt numFmtId="167" formatCode="0.00000000"/>
    <numFmt numFmtId="168" formatCode="0.000%"/>
    <numFmt numFmtId="169" formatCode="0.0000000000000000"/>
    <numFmt numFmtId="170" formatCode="0.000000"/>
    <numFmt numFmtId="171" formatCode="0.0000000"/>
    <numFmt numFmtId="172" formatCode="0.00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b/>
      <sz val="11"/>
      <color theme="1"/>
      <name val="Calibri"/>
      <family val="2"/>
    </font>
    <font>
      <b/>
      <vertAlign val="subscript"/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sz val="11"/>
      <color rgb="FFFFFF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  <font>
      <i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151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5" fontId="0" fillId="4" borderId="0" xfId="0" applyNumberFormat="1" applyFill="1"/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165" fontId="0" fillId="3" borderId="0" xfId="0" applyNumberFormat="1" applyFill="1" applyAlignment="1">
      <alignment horizontal="center"/>
    </xf>
    <xf numFmtId="166" fontId="0" fillId="0" borderId="0" xfId="0" applyNumberFormat="1"/>
    <xf numFmtId="165" fontId="5" fillId="5" borderId="0" xfId="0" applyNumberFormat="1" applyFont="1" applyFill="1"/>
    <xf numFmtId="2" fontId="0" fillId="2" borderId="0" xfId="0" applyNumberFormat="1" applyFill="1" applyAlignment="1">
      <alignment horizontal="center"/>
    </xf>
    <xf numFmtId="166" fontId="0" fillId="2" borderId="0" xfId="0" applyNumberFormat="1" applyFill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164" fontId="0" fillId="0" borderId="0" xfId="0" applyNumberFormat="1" applyBorder="1"/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165" fontId="0" fillId="4" borderId="0" xfId="0" applyNumberFormat="1" applyFill="1" applyBorder="1"/>
    <xf numFmtId="2" fontId="0" fillId="0" borderId="0" xfId="0" applyNumberFormat="1" applyBorder="1"/>
    <xf numFmtId="164" fontId="0" fillId="2" borderId="0" xfId="0" applyNumberFormat="1" applyFill="1" applyBorder="1"/>
    <xf numFmtId="165" fontId="5" fillId="5" borderId="0" xfId="0" applyNumberFormat="1" applyFont="1" applyFill="1" applyBorder="1"/>
    <xf numFmtId="165" fontId="0" fillId="3" borderId="0" xfId="0" applyNumberFormat="1" applyFill="1" applyBorder="1" applyAlignment="1">
      <alignment horizontal="center"/>
    </xf>
    <xf numFmtId="166" fontId="0" fillId="0" borderId="0" xfId="0" applyNumberFormat="1" applyBorder="1"/>
    <xf numFmtId="0" fontId="1" fillId="0" borderId="2" xfId="0" applyFont="1" applyBorder="1" applyAlignment="1">
      <alignment horizontal="center" vertical="top"/>
    </xf>
    <xf numFmtId="0" fontId="0" fillId="0" borderId="3" xfId="0" applyBorder="1"/>
    <xf numFmtId="0" fontId="0" fillId="0" borderId="4" xfId="0" applyBorder="1"/>
    <xf numFmtId="0" fontId="0" fillId="0" borderId="0" xfId="0" applyAlignment="1">
      <alignment vertical="center"/>
    </xf>
    <xf numFmtId="0" fontId="0" fillId="6" borderId="0" xfId="0" applyFill="1"/>
    <xf numFmtId="165" fontId="0" fillId="6" borderId="0" xfId="0" applyNumberFormat="1" applyFill="1"/>
    <xf numFmtId="166" fontId="0" fillId="6" borderId="0" xfId="0" applyNumberFormat="1" applyFill="1"/>
    <xf numFmtId="164" fontId="0" fillId="6" borderId="0" xfId="0" applyNumberFormat="1" applyFill="1"/>
    <xf numFmtId="0" fontId="1" fillId="0" borderId="0" xfId="0" applyFont="1"/>
    <xf numFmtId="167" fontId="0" fillId="6" borderId="0" xfId="0" applyNumberFormat="1" applyFill="1"/>
    <xf numFmtId="164" fontId="0" fillId="7" borderId="0" xfId="0" applyNumberFormat="1" applyFill="1"/>
    <xf numFmtId="167" fontId="0" fillId="5" borderId="0" xfId="0" applyNumberFormat="1" applyFill="1"/>
    <xf numFmtId="164" fontId="0" fillId="5" borderId="0" xfId="0" applyNumberFormat="1" applyFill="1"/>
    <xf numFmtId="164" fontId="0" fillId="3" borderId="0" xfId="0" applyNumberFormat="1" applyFill="1"/>
    <xf numFmtId="2" fontId="0" fillId="3" borderId="0" xfId="0" applyNumberFormat="1" applyFill="1"/>
    <xf numFmtId="0" fontId="0" fillId="0" borderId="1" xfId="0" applyBorder="1" applyAlignment="1">
      <alignment horizontal="right"/>
    </xf>
    <xf numFmtId="164" fontId="0" fillId="0" borderId="1" xfId="0" applyNumberFormat="1" applyBorder="1"/>
    <xf numFmtId="165" fontId="0" fillId="2" borderId="0" xfId="0" applyNumberFormat="1" applyFill="1" applyBorder="1" applyAlignment="1">
      <alignment horizontal="center"/>
    </xf>
    <xf numFmtId="0" fontId="0" fillId="0" borderId="0" xfId="0" applyAlignment="1">
      <alignment horizontal="right"/>
    </xf>
    <xf numFmtId="164" fontId="0" fillId="3" borderId="0" xfId="0" applyNumberFormat="1" applyFill="1" applyBorder="1" applyAlignment="1">
      <alignment horizontal="center"/>
    </xf>
    <xf numFmtId="168" fontId="0" fillId="0" borderId="0" xfId="1" applyNumberFormat="1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ill="1"/>
    <xf numFmtId="0" fontId="0" fillId="8" borderId="0" xfId="0" applyFill="1"/>
    <xf numFmtId="166" fontId="0" fillId="9" borderId="0" xfId="0" applyNumberFormat="1" applyFill="1"/>
    <xf numFmtId="0" fontId="0" fillId="9" borderId="1" xfId="0" applyFill="1" applyBorder="1"/>
    <xf numFmtId="0" fontId="0" fillId="9" borderId="0" xfId="0" applyFill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/>
    <xf numFmtId="164" fontId="0" fillId="9" borderId="0" xfId="0" applyNumberFormat="1" applyFill="1"/>
    <xf numFmtId="170" fontId="0" fillId="0" borderId="0" xfId="0" applyNumberFormat="1"/>
    <xf numFmtId="169" fontId="0" fillId="6" borderId="0" xfId="0" applyNumberFormat="1" applyFill="1"/>
    <xf numFmtId="0" fontId="10" fillId="0" borderId="0" xfId="0" applyFont="1"/>
    <xf numFmtId="0" fontId="0" fillId="3" borderId="0" xfId="0" applyFill="1" applyAlignment="1">
      <alignment horizontal="center"/>
    </xf>
    <xf numFmtId="165" fontId="0" fillId="7" borderId="0" xfId="0" applyNumberFormat="1" applyFill="1"/>
    <xf numFmtId="165" fontId="0" fillId="3" borderId="0" xfId="0" applyNumberFormat="1" applyFill="1"/>
    <xf numFmtId="3" fontId="0" fillId="0" borderId="0" xfId="0" applyNumberFormat="1"/>
    <xf numFmtId="3" fontId="0" fillId="0" borderId="0" xfId="0" applyNumberFormat="1" applyAlignment="1">
      <alignment wrapText="1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11" borderId="0" xfId="0" applyFill="1" applyAlignment="1">
      <alignment horizontal="center"/>
    </xf>
    <xf numFmtId="164" fontId="0" fillId="11" borderId="0" xfId="0" applyNumberFormat="1" applyFill="1"/>
    <xf numFmtId="164" fontId="12" fillId="12" borderId="0" xfId="0" applyNumberFormat="1" applyFont="1" applyFill="1"/>
    <xf numFmtId="0" fontId="12" fillId="12" borderId="0" xfId="0" applyFont="1" applyFill="1" applyAlignment="1">
      <alignment horizontal="center"/>
    </xf>
    <xf numFmtId="165" fontId="13" fillId="6" borderId="0" xfId="0" applyNumberFormat="1" applyFont="1" applyFill="1"/>
    <xf numFmtId="0" fontId="13" fillId="6" borderId="0" xfId="0" applyFont="1" applyFill="1"/>
    <xf numFmtId="164" fontId="13" fillId="6" borderId="0" xfId="0" applyNumberFormat="1" applyFont="1" applyFill="1"/>
    <xf numFmtId="2" fontId="13" fillId="6" borderId="0" xfId="0" applyNumberFormat="1" applyFont="1" applyFill="1"/>
    <xf numFmtId="170" fontId="13" fillId="6" borderId="0" xfId="0" applyNumberFormat="1" applyFont="1" applyFill="1"/>
    <xf numFmtId="165" fontId="0" fillId="11" borderId="0" xfId="0" applyNumberFormat="1" applyFill="1"/>
    <xf numFmtId="0" fontId="12" fillId="12" borderId="0" xfId="0" applyFont="1" applyFill="1"/>
    <xf numFmtId="165" fontId="0" fillId="10" borderId="0" xfId="0" applyNumberFormat="1" applyFill="1"/>
    <xf numFmtId="2" fontId="0" fillId="6" borderId="0" xfId="0" applyNumberFormat="1" applyFill="1"/>
    <xf numFmtId="170" fontId="0" fillId="6" borderId="0" xfId="0" applyNumberFormat="1" applyFill="1"/>
    <xf numFmtId="164" fontId="12" fillId="6" borderId="0" xfId="0" applyNumberFormat="1" applyFont="1" applyFill="1"/>
    <xf numFmtId="0" fontId="0" fillId="0" borderId="5" xfId="0" applyBorder="1"/>
    <xf numFmtId="0" fontId="0" fillId="0" borderId="6" xfId="0" applyBorder="1"/>
    <xf numFmtId="165" fontId="0" fillId="0" borderId="7" xfId="0" applyNumberFormat="1" applyBorder="1"/>
    <xf numFmtId="0" fontId="0" fillId="0" borderId="8" xfId="0" applyBorder="1"/>
    <xf numFmtId="165" fontId="0" fillId="0" borderId="9" xfId="0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10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164" fontId="0" fillId="3" borderId="0" xfId="0" applyNumberFormat="1" applyFill="1" applyAlignment="1">
      <alignment horizontal="center"/>
    </xf>
    <xf numFmtId="165" fontId="0" fillId="7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  <xf numFmtId="171" fontId="0" fillId="0" borderId="0" xfId="0" applyNumberFormat="1"/>
    <xf numFmtId="4" fontId="0" fillId="0" borderId="0" xfId="0" applyNumberFormat="1"/>
    <xf numFmtId="0" fontId="11" fillId="0" borderId="0" xfId="0" applyFont="1" applyAlignment="1">
      <alignment horizontal="left" vertical="center" wrapText="1"/>
    </xf>
    <xf numFmtId="0" fontId="15" fillId="0" borderId="0" xfId="0" applyFont="1" applyAlignment="1">
      <alignment horizontal="left" vertical="center"/>
    </xf>
    <xf numFmtId="0" fontId="11" fillId="13" borderId="0" xfId="0" applyFont="1" applyFill="1" applyAlignment="1">
      <alignment horizontal="left" vertical="center" wrapText="1"/>
    </xf>
    <xf numFmtId="0" fontId="11" fillId="0" borderId="0" xfId="0" applyFont="1"/>
    <xf numFmtId="0" fontId="15" fillId="0" borderId="0" xfId="0" applyFont="1"/>
    <xf numFmtId="0" fontId="16" fillId="0" borderId="0" xfId="0" applyFont="1"/>
    <xf numFmtId="0" fontId="14" fillId="0" borderId="0" xfId="0" applyFont="1"/>
    <xf numFmtId="166" fontId="0" fillId="3" borderId="0" xfId="0" applyNumberFormat="1" applyFill="1"/>
    <xf numFmtId="0" fontId="0" fillId="14" borderId="0" xfId="0" applyFill="1"/>
    <xf numFmtId="1" fontId="0" fillId="3" borderId="0" xfId="0" applyNumberFormat="1" applyFill="1"/>
    <xf numFmtId="2" fontId="0" fillId="8" borderId="0" xfId="0" applyNumberFormat="1" applyFill="1"/>
    <xf numFmtId="0" fontId="17" fillId="0" borderId="0" xfId="0" applyFont="1"/>
    <xf numFmtId="164" fontId="0" fillId="3" borderId="1" xfId="0" applyNumberFormat="1" applyFill="1" applyBorder="1"/>
    <xf numFmtId="166" fontId="0" fillId="3" borderId="1" xfId="0" applyNumberFormat="1" applyFill="1" applyBorder="1"/>
    <xf numFmtId="165" fontId="0" fillId="3" borderId="1" xfId="0" applyNumberFormat="1" applyFill="1" applyBorder="1"/>
    <xf numFmtId="166" fontId="0" fillId="14" borderId="0" xfId="0" applyNumberFormat="1" applyFill="1"/>
    <xf numFmtId="165" fontId="0" fillId="14" borderId="0" xfId="0" applyNumberFormat="1" applyFill="1"/>
    <xf numFmtId="0" fontId="0" fillId="0" borderId="0" xfId="0" applyAlignment="1">
      <alignment wrapText="1"/>
    </xf>
    <xf numFmtId="0" fontId="0" fillId="3" borderId="0" xfId="0" applyFill="1" applyAlignment="1">
      <alignment horizontal="right"/>
    </xf>
    <xf numFmtId="2" fontId="0" fillId="8" borderId="0" xfId="1" applyNumberFormat="1" applyFont="1" applyFill="1"/>
    <xf numFmtId="10" fontId="0" fillId="6" borderId="0" xfId="1" applyNumberFormat="1" applyFont="1" applyFill="1"/>
    <xf numFmtId="0" fontId="0" fillId="3" borderId="1" xfId="0" applyFill="1" applyBorder="1"/>
    <xf numFmtId="164" fontId="0" fillId="4" borderId="0" xfId="0" applyNumberFormat="1" applyFill="1"/>
    <xf numFmtId="166" fontId="0" fillId="2" borderId="0" xfId="0" applyNumberFormat="1" applyFill="1"/>
    <xf numFmtId="49" fontId="0" fillId="0" borderId="0" xfId="0" applyNumberFormat="1" applyAlignment="1">
      <alignment wrapText="1"/>
    </xf>
    <xf numFmtId="0" fontId="21" fillId="0" borderId="13" xfId="0" applyFont="1" applyBorder="1" applyAlignment="1">
      <alignment horizontal="center"/>
    </xf>
    <xf numFmtId="164" fontId="0" fillId="15" borderId="0" xfId="0" applyNumberFormat="1" applyFill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right"/>
    </xf>
    <xf numFmtId="0" fontId="0" fillId="0" borderId="17" xfId="0" applyBorder="1"/>
    <xf numFmtId="0" fontId="0" fillId="0" borderId="18" xfId="0" applyBorder="1"/>
    <xf numFmtId="0" fontId="0" fillId="0" borderId="19" xfId="0" applyBorder="1" applyAlignment="1">
      <alignment horizontal="right"/>
    </xf>
    <xf numFmtId="0" fontId="0" fillId="0" borderId="20" xfId="0" applyBorder="1"/>
    <xf numFmtId="0" fontId="17" fillId="0" borderId="18" xfId="0" applyFont="1" applyBorder="1" applyAlignment="1">
      <alignment horizontal="right"/>
    </xf>
    <xf numFmtId="164" fontId="0" fillId="16" borderId="20" xfId="0" applyNumberFormat="1" applyFill="1" applyBorder="1"/>
    <xf numFmtId="165" fontId="0" fillId="3" borderId="20" xfId="0" applyNumberFormat="1" applyFill="1" applyBorder="1"/>
    <xf numFmtId="0" fontId="0" fillId="16" borderId="20" xfId="0" applyFill="1" applyBorder="1"/>
    <xf numFmtId="164" fontId="0" fillId="17" borderId="0" xfId="0" applyNumberFormat="1" applyFill="1"/>
    <xf numFmtId="164" fontId="0" fillId="0" borderId="20" xfId="0" applyNumberFormat="1" applyBorder="1"/>
    <xf numFmtId="164" fontId="0" fillId="5" borderId="20" xfId="0" applyNumberFormat="1" applyFill="1" applyBorder="1"/>
    <xf numFmtId="164" fontId="0" fillId="5" borderId="1" xfId="0" applyNumberFormat="1" applyFill="1" applyBorder="1"/>
    <xf numFmtId="0" fontId="17" fillId="0" borderId="21" xfId="0" applyFont="1" applyBorder="1" applyAlignment="1">
      <alignment horizontal="right"/>
    </xf>
    <xf numFmtId="164" fontId="0" fillId="0" borderId="22" xfId="0" applyNumberFormat="1" applyBorder="1"/>
    <xf numFmtId="164" fontId="0" fillId="0" borderId="23" xfId="0" applyNumberFormat="1" applyBorder="1"/>
    <xf numFmtId="0" fontId="17" fillId="0" borderId="24" xfId="0" applyFont="1" applyBorder="1" applyAlignment="1">
      <alignment horizontal="right"/>
    </xf>
    <xf numFmtId="172" fontId="0" fillId="0" borderId="0" xfId="0" applyNumberFormat="1"/>
    <xf numFmtId="0" fontId="17" fillId="0" borderId="0" xfId="0" applyFont="1" applyAlignment="1">
      <alignment horizontal="right"/>
    </xf>
    <xf numFmtId="0" fontId="0" fillId="17" borderId="0" xfId="0" applyFill="1"/>
    <xf numFmtId="2" fontId="0" fillId="5" borderId="0" xfId="0" applyNumberFormat="1" applyFill="1"/>
    <xf numFmtId="172" fontId="0" fillId="17" borderId="0" xfId="0" applyNumberFormat="1" applyFill="1"/>
    <xf numFmtId="0" fontId="0" fillId="0" borderId="25" xfId="0" applyBorder="1"/>
    <xf numFmtId="0" fontId="0" fillId="0" borderId="26" xfId="0" applyBorder="1"/>
    <xf numFmtId="0" fontId="0" fillId="0" borderId="0" xfId="0" quotePrefix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3399FF"/>
      <color rgb="FF99FFCC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2.xml"/><Relationship Id="rId30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Internet Use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gradFill rotWithShape="1">
              <a:gsLst>
                <a:gs pos="0">
                  <a:schemeClr val="accent1">
                    <a:tint val="50000"/>
                    <a:satMod val="300000"/>
                  </a:schemeClr>
                </a:gs>
                <a:gs pos="35000">
                  <a:schemeClr val="accent1">
                    <a:tint val="37000"/>
                    <a:satMod val="300000"/>
                  </a:schemeClr>
                </a:gs>
                <a:gs pos="100000">
                  <a:schemeClr val="accent1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cat>
            <c:strRef>
              <c:f>'#of classes&amp;bin width'!$E$7:$E$12</c:f>
              <c:strCache>
                <c:ptCount val="6"/>
                <c:pt idx="0">
                  <c:v>7 to 20</c:v>
                </c:pt>
                <c:pt idx="1">
                  <c:v>21 to 34</c:v>
                </c:pt>
                <c:pt idx="2">
                  <c:v>35 to 48</c:v>
                </c:pt>
                <c:pt idx="3">
                  <c:v>49 to 62</c:v>
                </c:pt>
                <c:pt idx="4">
                  <c:v>63 to 76</c:v>
                </c:pt>
                <c:pt idx="5">
                  <c:v>77 to 90</c:v>
                </c:pt>
              </c:strCache>
            </c:strRef>
          </c:cat>
          <c:val>
            <c:numRef>
              <c:f>'#of classes&amp;bin width'!$F$7:$F$12</c:f>
              <c:numCache>
                <c:formatCode>General</c:formatCode>
                <c:ptCount val="6"/>
                <c:pt idx="0">
                  <c:v>8</c:v>
                </c:pt>
                <c:pt idx="1">
                  <c:v>12</c:v>
                </c:pt>
                <c:pt idx="2">
                  <c:v>12</c:v>
                </c:pt>
                <c:pt idx="3">
                  <c:v>10</c:v>
                </c:pt>
                <c:pt idx="4">
                  <c:v>4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56-477E-9CAC-682F1683A8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-868023888"/>
        <c:axId val="-868021712"/>
      </c:barChart>
      <c:catAx>
        <c:axId val="-8680238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Minutes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68021712"/>
        <c:crosses val="autoZero"/>
        <c:auto val="1"/>
        <c:lblAlgn val="ctr"/>
        <c:lblOffset val="100"/>
        <c:noMultiLvlLbl val="0"/>
      </c:catAx>
      <c:valAx>
        <c:axId val="-8680217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Subscribers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68023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1435061242344704"/>
                  <c:y val="-0.30182961504811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'Ch 10 quiz'!$A$4:$A$14</c:f>
              <c:numCache>
                <c:formatCode>General</c:formatCode>
                <c:ptCount val="11"/>
                <c:pt idx="0">
                  <c:v>10</c:v>
                </c:pt>
                <c:pt idx="1">
                  <c:v>8</c:v>
                </c:pt>
                <c:pt idx="2">
                  <c:v>13</c:v>
                </c:pt>
                <c:pt idx="3">
                  <c:v>9</c:v>
                </c:pt>
                <c:pt idx="4">
                  <c:v>11</c:v>
                </c:pt>
                <c:pt idx="5">
                  <c:v>14</c:v>
                </c:pt>
                <c:pt idx="6">
                  <c:v>6</c:v>
                </c:pt>
                <c:pt idx="7">
                  <c:v>4</c:v>
                </c:pt>
                <c:pt idx="8">
                  <c:v>12</c:v>
                </c:pt>
                <c:pt idx="9">
                  <c:v>7</c:v>
                </c:pt>
                <c:pt idx="10">
                  <c:v>5</c:v>
                </c:pt>
              </c:numCache>
            </c:numRef>
          </c:xVal>
          <c:yVal>
            <c:numRef>
              <c:f>'Ch 10 quiz'!$B$4:$B$14</c:f>
              <c:numCache>
                <c:formatCode>General</c:formatCode>
                <c:ptCount val="11"/>
                <c:pt idx="0">
                  <c:v>7.45</c:v>
                </c:pt>
                <c:pt idx="1">
                  <c:v>6.77</c:v>
                </c:pt>
                <c:pt idx="2">
                  <c:v>12.73</c:v>
                </c:pt>
                <c:pt idx="3">
                  <c:v>7.11</c:v>
                </c:pt>
                <c:pt idx="4">
                  <c:v>7.81</c:v>
                </c:pt>
                <c:pt idx="5">
                  <c:v>8.85</c:v>
                </c:pt>
                <c:pt idx="6">
                  <c:v>6.09</c:v>
                </c:pt>
                <c:pt idx="7">
                  <c:v>5.39</c:v>
                </c:pt>
                <c:pt idx="8">
                  <c:v>8.16</c:v>
                </c:pt>
                <c:pt idx="9">
                  <c:v>6.42</c:v>
                </c:pt>
                <c:pt idx="10">
                  <c:v>5.73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C90-450E-9BD7-01970C06B6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9740128"/>
        <c:axId val="409740456"/>
      </c:scatterChart>
      <c:valAx>
        <c:axId val="409740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740456"/>
        <c:crosses val="autoZero"/>
        <c:crossBetween val="midCat"/>
      </c:valAx>
      <c:valAx>
        <c:axId val="409740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740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5323950131233601"/>
                  <c:y val="-0.1670833333333333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('Ch 10 quiz'!$A$4:$A$5,'Ch 10 quiz'!$A$7:$A$14)</c:f>
              <c:numCache>
                <c:formatCode>General</c:formatCode>
                <c:ptCount val="10"/>
                <c:pt idx="0">
                  <c:v>10</c:v>
                </c:pt>
                <c:pt idx="1">
                  <c:v>8</c:v>
                </c:pt>
                <c:pt idx="2">
                  <c:v>9</c:v>
                </c:pt>
                <c:pt idx="3">
                  <c:v>11</c:v>
                </c:pt>
                <c:pt idx="4">
                  <c:v>14</c:v>
                </c:pt>
                <c:pt idx="5">
                  <c:v>6</c:v>
                </c:pt>
                <c:pt idx="6">
                  <c:v>4</c:v>
                </c:pt>
                <c:pt idx="7">
                  <c:v>12</c:v>
                </c:pt>
                <c:pt idx="8">
                  <c:v>7</c:v>
                </c:pt>
                <c:pt idx="9">
                  <c:v>5</c:v>
                </c:pt>
              </c:numCache>
            </c:numRef>
          </c:xVal>
          <c:yVal>
            <c:numRef>
              <c:f>('Ch 10 quiz'!$B$4:$B$5,'Ch 10 quiz'!$B$7:$B$14)</c:f>
              <c:numCache>
                <c:formatCode>General</c:formatCode>
                <c:ptCount val="10"/>
                <c:pt idx="0">
                  <c:v>7.45</c:v>
                </c:pt>
                <c:pt idx="1">
                  <c:v>6.77</c:v>
                </c:pt>
                <c:pt idx="2">
                  <c:v>7.11</c:v>
                </c:pt>
                <c:pt idx="3">
                  <c:v>7.81</c:v>
                </c:pt>
                <c:pt idx="4">
                  <c:v>8.85</c:v>
                </c:pt>
                <c:pt idx="5">
                  <c:v>6.09</c:v>
                </c:pt>
                <c:pt idx="6">
                  <c:v>5.39</c:v>
                </c:pt>
                <c:pt idx="7">
                  <c:v>8.16</c:v>
                </c:pt>
                <c:pt idx="8">
                  <c:v>6.42</c:v>
                </c:pt>
                <c:pt idx="9">
                  <c:v>5.73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55A-430A-A845-B92C73C3DF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3071784"/>
        <c:axId val="713072112"/>
      </c:scatterChart>
      <c:valAx>
        <c:axId val="713071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072112"/>
        <c:crosses val="autoZero"/>
        <c:crossBetween val="midCat"/>
      </c:valAx>
      <c:valAx>
        <c:axId val="71307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071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60299538029444433"/>
                  <c:y val="-0.201145653606048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'Ch 10 quiz'!$A$30:$A$40</c:f>
              <c:numCache>
                <c:formatCode>General</c:formatCode>
                <c:ptCount val="11"/>
                <c:pt idx="0">
                  <c:v>5</c:v>
                </c:pt>
                <c:pt idx="1">
                  <c:v>6</c:v>
                </c:pt>
                <c:pt idx="2">
                  <c:v>8</c:v>
                </c:pt>
                <c:pt idx="3">
                  <c:v>4</c:v>
                </c:pt>
                <c:pt idx="4">
                  <c:v>3</c:v>
                </c:pt>
                <c:pt idx="5">
                  <c:v>12</c:v>
                </c:pt>
                <c:pt idx="6">
                  <c:v>9</c:v>
                </c:pt>
                <c:pt idx="7">
                  <c:v>7</c:v>
                </c:pt>
                <c:pt idx="8">
                  <c:v>10</c:v>
                </c:pt>
                <c:pt idx="9">
                  <c:v>11</c:v>
                </c:pt>
                <c:pt idx="10">
                  <c:v>13</c:v>
                </c:pt>
              </c:numCache>
            </c:numRef>
          </c:xVal>
          <c:yVal>
            <c:numRef>
              <c:f>'Ch 10 quiz'!$B$30:$B$40</c:f>
              <c:numCache>
                <c:formatCode>General</c:formatCode>
                <c:ptCount val="11"/>
                <c:pt idx="0">
                  <c:v>9.07</c:v>
                </c:pt>
                <c:pt idx="1">
                  <c:v>11.09</c:v>
                </c:pt>
                <c:pt idx="2">
                  <c:v>14.15</c:v>
                </c:pt>
                <c:pt idx="3">
                  <c:v>6.71</c:v>
                </c:pt>
                <c:pt idx="4">
                  <c:v>4.03</c:v>
                </c:pt>
                <c:pt idx="5">
                  <c:v>16.309999999999999</c:v>
                </c:pt>
                <c:pt idx="6">
                  <c:v>15.18</c:v>
                </c:pt>
                <c:pt idx="7">
                  <c:v>12.78</c:v>
                </c:pt>
                <c:pt idx="8">
                  <c:v>15.89</c:v>
                </c:pt>
                <c:pt idx="9">
                  <c:v>16.27</c:v>
                </c:pt>
                <c:pt idx="10">
                  <c:v>16.03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139-41F0-AFA8-EFCD848D3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6409728"/>
        <c:axId val="656407104"/>
      </c:scatterChart>
      <c:valAx>
        <c:axId val="656409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407104"/>
        <c:crosses val="autoZero"/>
        <c:crossBetween val="midCat"/>
      </c:valAx>
      <c:valAx>
        <c:axId val="65640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409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3530426110984153"/>
                  <c:y val="-0.284235403253415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'Ch 10 quiz'!$A$44:$A$54</c:f>
              <c:numCache>
                <c:formatCode>General</c:formatCode>
                <c:ptCount val="11"/>
                <c:pt idx="0">
                  <c:v>9</c:v>
                </c:pt>
                <c:pt idx="1">
                  <c:v>7</c:v>
                </c:pt>
                <c:pt idx="2">
                  <c:v>11</c:v>
                </c:pt>
                <c:pt idx="3">
                  <c:v>9</c:v>
                </c:pt>
                <c:pt idx="4">
                  <c:v>10</c:v>
                </c:pt>
                <c:pt idx="5">
                  <c:v>14</c:v>
                </c:pt>
                <c:pt idx="6">
                  <c:v>5</c:v>
                </c:pt>
                <c:pt idx="7">
                  <c:v>4</c:v>
                </c:pt>
                <c:pt idx="8">
                  <c:v>13</c:v>
                </c:pt>
                <c:pt idx="9">
                  <c:v>7</c:v>
                </c:pt>
                <c:pt idx="10">
                  <c:v>6</c:v>
                </c:pt>
              </c:numCache>
            </c:numRef>
          </c:xVal>
          <c:yVal>
            <c:numRef>
              <c:f>'Ch 10 quiz'!$B$44:$B$54</c:f>
              <c:numCache>
                <c:formatCode>General</c:formatCode>
                <c:ptCount val="11"/>
                <c:pt idx="0">
                  <c:v>7.79</c:v>
                </c:pt>
                <c:pt idx="1">
                  <c:v>6.65</c:v>
                </c:pt>
                <c:pt idx="2">
                  <c:v>13.37</c:v>
                </c:pt>
                <c:pt idx="3">
                  <c:v>7.42</c:v>
                </c:pt>
                <c:pt idx="4">
                  <c:v>8.02</c:v>
                </c:pt>
                <c:pt idx="5">
                  <c:v>9.23</c:v>
                </c:pt>
                <c:pt idx="6">
                  <c:v>6.06</c:v>
                </c:pt>
                <c:pt idx="7">
                  <c:v>5.35</c:v>
                </c:pt>
                <c:pt idx="8">
                  <c:v>8.18</c:v>
                </c:pt>
                <c:pt idx="9">
                  <c:v>6.32</c:v>
                </c:pt>
                <c:pt idx="10">
                  <c:v>5.84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AEB-4991-9EBE-3558547923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7563632"/>
        <c:axId val="757559040"/>
      </c:scatterChart>
      <c:valAx>
        <c:axId val="757563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7559040"/>
        <c:crosses val="autoZero"/>
        <c:crossBetween val="midCat"/>
      </c:valAx>
      <c:valAx>
        <c:axId val="757559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7563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7923817490127318"/>
                  <c:y val="-0.2101310043668122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('Ch 10 quiz'!$A$44:$A$45,'Ch 10 quiz'!$A$47:$A$54)</c:f>
              <c:numCache>
                <c:formatCode>General</c:formatCode>
                <c:ptCount val="10"/>
                <c:pt idx="0">
                  <c:v>9</c:v>
                </c:pt>
                <c:pt idx="1">
                  <c:v>7</c:v>
                </c:pt>
                <c:pt idx="2">
                  <c:v>9</c:v>
                </c:pt>
                <c:pt idx="3">
                  <c:v>10</c:v>
                </c:pt>
                <c:pt idx="4">
                  <c:v>14</c:v>
                </c:pt>
                <c:pt idx="5">
                  <c:v>5</c:v>
                </c:pt>
                <c:pt idx="6">
                  <c:v>4</c:v>
                </c:pt>
                <c:pt idx="7">
                  <c:v>13</c:v>
                </c:pt>
                <c:pt idx="8">
                  <c:v>7</c:v>
                </c:pt>
                <c:pt idx="9">
                  <c:v>6</c:v>
                </c:pt>
              </c:numCache>
            </c:numRef>
          </c:xVal>
          <c:yVal>
            <c:numRef>
              <c:f>('Ch 10 quiz'!$B$44:$B$45,'Ch 10 quiz'!$B$47:$B$54)</c:f>
              <c:numCache>
                <c:formatCode>General</c:formatCode>
                <c:ptCount val="10"/>
                <c:pt idx="0">
                  <c:v>7.79</c:v>
                </c:pt>
                <c:pt idx="1">
                  <c:v>6.65</c:v>
                </c:pt>
                <c:pt idx="2">
                  <c:v>7.42</c:v>
                </c:pt>
                <c:pt idx="3">
                  <c:v>8.02</c:v>
                </c:pt>
                <c:pt idx="4">
                  <c:v>9.23</c:v>
                </c:pt>
                <c:pt idx="5">
                  <c:v>6.06</c:v>
                </c:pt>
                <c:pt idx="6">
                  <c:v>5.35</c:v>
                </c:pt>
                <c:pt idx="7">
                  <c:v>8.18</c:v>
                </c:pt>
                <c:pt idx="8">
                  <c:v>6.32</c:v>
                </c:pt>
                <c:pt idx="9">
                  <c:v>5.84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FBC-46D2-ABC3-B3E215053A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6079568"/>
        <c:axId val="716080552"/>
      </c:scatterChart>
      <c:valAx>
        <c:axId val="716079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080552"/>
        <c:crosses val="autoZero"/>
        <c:crossBetween val="midCat"/>
      </c:valAx>
      <c:valAx>
        <c:axId val="716080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079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chest size/weight</a:t>
            </a:r>
          </a:p>
          <a:p>
            <a:pPr>
              <a:defRPr/>
            </a:pPr>
            <a:endParaRPr lang="en-US"/>
          </a:p>
        </c:rich>
      </c:tx>
      <c:layout>
        <c:manualLayout>
          <c:xMode val="edge"/>
          <c:yMode val="edge"/>
          <c:x val="0.5262667621092818"/>
          <c:y val="3.71057513914656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265887854927225"/>
                  <c:y val="-0.2900927643784786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'Ch 10 quiz'!$A$60:$A$65</c:f>
              <c:numCache>
                <c:formatCode>General</c:formatCode>
                <c:ptCount val="6"/>
                <c:pt idx="0">
                  <c:v>44</c:v>
                </c:pt>
                <c:pt idx="1">
                  <c:v>41</c:v>
                </c:pt>
                <c:pt idx="2">
                  <c:v>41</c:v>
                </c:pt>
                <c:pt idx="3">
                  <c:v>55</c:v>
                </c:pt>
                <c:pt idx="4">
                  <c:v>51</c:v>
                </c:pt>
                <c:pt idx="5">
                  <c:v>42</c:v>
                </c:pt>
              </c:numCache>
            </c:numRef>
          </c:xVal>
          <c:yVal>
            <c:numRef>
              <c:f>'Ch 10 quiz'!$B$60:$B$65</c:f>
              <c:numCache>
                <c:formatCode>General</c:formatCode>
                <c:ptCount val="6"/>
                <c:pt idx="0">
                  <c:v>213</c:v>
                </c:pt>
                <c:pt idx="1">
                  <c:v>206</c:v>
                </c:pt>
                <c:pt idx="2">
                  <c:v>176</c:v>
                </c:pt>
                <c:pt idx="3">
                  <c:v>309</c:v>
                </c:pt>
                <c:pt idx="4">
                  <c:v>300</c:v>
                </c:pt>
                <c:pt idx="5">
                  <c:v>178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C99-4236-8C5A-5A70C23F16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9821864"/>
        <c:axId val="719822192"/>
      </c:scatterChart>
      <c:valAx>
        <c:axId val="719821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9822192"/>
        <c:crosses val="autoZero"/>
        <c:crossBetween val="midCat"/>
      </c:valAx>
      <c:valAx>
        <c:axId val="719822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9821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0598243425238165"/>
                  <c:y val="-0.2564118564742589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'Ch 10 quiz'!$A$71:$A$76</c:f>
              <c:numCache>
                <c:formatCode>General</c:formatCode>
                <c:ptCount val="6"/>
                <c:pt idx="0">
                  <c:v>8.3000000000000007</c:v>
                </c:pt>
                <c:pt idx="1">
                  <c:v>7.3</c:v>
                </c:pt>
                <c:pt idx="2">
                  <c:v>9.1</c:v>
                </c:pt>
                <c:pt idx="3">
                  <c:v>7.6</c:v>
                </c:pt>
                <c:pt idx="4">
                  <c:v>7.1</c:v>
                </c:pt>
                <c:pt idx="5">
                  <c:v>9.6999999999999993</c:v>
                </c:pt>
              </c:numCache>
            </c:numRef>
          </c:xVal>
          <c:yVal>
            <c:numRef>
              <c:f>'Ch 10 quiz'!$B$71:$B$76</c:f>
              <c:numCache>
                <c:formatCode>General</c:formatCode>
                <c:ptCount val="6"/>
                <c:pt idx="0">
                  <c:v>176</c:v>
                </c:pt>
                <c:pt idx="1">
                  <c:v>165</c:v>
                </c:pt>
                <c:pt idx="2">
                  <c:v>235</c:v>
                </c:pt>
                <c:pt idx="3">
                  <c:v>145</c:v>
                </c:pt>
                <c:pt idx="4">
                  <c:v>147</c:v>
                </c:pt>
                <c:pt idx="5">
                  <c:v>261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E0D-4879-91B5-92FA151842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6073336"/>
        <c:axId val="716078584"/>
      </c:scatterChart>
      <c:valAx>
        <c:axId val="716073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078584"/>
        <c:crosses val="autoZero"/>
        <c:crossBetween val="midCat"/>
      </c:valAx>
      <c:valAx>
        <c:axId val="716078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073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9232444399086208"/>
                  <c:y val="-0.5144338181936336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'Ch 10 quiz'!$A$84:$A$91</c:f>
              <c:numCache>
                <c:formatCode>General</c:formatCode>
                <c:ptCount val="8"/>
                <c:pt idx="0">
                  <c:v>106</c:v>
                </c:pt>
                <c:pt idx="1">
                  <c:v>13</c:v>
                </c:pt>
                <c:pt idx="2">
                  <c:v>12</c:v>
                </c:pt>
                <c:pt idx="3">
                  <c:v>7</c:v>
                </c:pt>
                <c:pt idx="4">
                  <c:v>11</c:v>
                </c:pt>
                <c:pt idx="5">
                  <c:v>5</c:v>
                </c:pt>
                <c:pt idx="6">
                  <c:v>6</c:v>
                </c:pt>
                <c:pt idx="7">
                  <c:v>6</c:v>
                </c:pt>
              </c:numCache>
            </c:numRef>
          </c:xVal>
          <c:yVal>
            <c:numRef>
              <c:f>'Ch 10 quiz'!$B$84:$B$91</c:f>
              <c:numCache>
                <c:formatCode>General</c:formatCode>
                <c:ptCount val="8"/>
                <c:pt idx="0">
                  <c:v>6.6</c:v>
                </c:pt>
                <c:pt idx="1">
                  <c:v>4.2</c:v>
                </c:pt>
                <c:pt idx="2">
                  <c:v>7.6</c:v>
                </c:pt>
                <c:pt idx="3">
                  <c:v>5.4</c:v>
                </c:pt>
                <c:pt idx="4">
                  <c:v>10.4</c:v>
                </c:pt>
                <c:pt idx="5">
                  <c:v>7.4</c:v>
                </c:pt>
                <c:pt idx="6">
                  <c:v>7.9</c:v>
                </c:pt>
                <c:pt idx="7">
                  <c:v>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902-4CED-98E4-F77A16E0E4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6095968"/>
        <c:axId val="716100560"/>
      </c:scatterChart>
      <c:valAx>
        <c:axId val="716095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100560"/>
        <c:crosses val="autoZero"/>
        <c:crossBetween val="midCat"/>
      </c:valAx>
      <c:valAx>
        <c:axId val="71610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095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4039066468901953"/>
                  <c:y val="-0.3408501118568232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'Hw 10.1 '!$A$2:$A$12</c:f>
              <c:numCache>
                <c:formatCode>General</c:formatCode>
                <c:ptCount val="11"/>
                <c:pt idx="0">
                  <c:v>10</c:v>
                </c:pt>
                <c:pt idx="1">
                  <c:v>8</c:v>
                </c:pt>
                <c:pt idx="2">
                  <c:v>13</c:v>
                </c:pt>
                <c:pt idx="3">
                  <c:v>9</c:v>
                </c:pt>
                <c:pt idx="4">
                  <c:v>11</c:v>
                </c:pt>
                <c:pt idx="5">
                  <c:v>14</c:v>
                </c:pt>
                <c:pt idx="6">
                  <c:v>6</c:v>
                </c:pt>
                <c:pt idx="7">
                  <c:v>4</c:v>
                </c:pt>
                <c:pt idx="8">
                  <c:v>12</c:v>
                </c:pt>
                <c:pt idx="9">
                  <c:v>7</c:v>
                </c:pt>
                <c:pt idx="10">
                  <c:v>5</c:v>
                </c:pt>
              </c:numCache>
            </c:numRef>
          </c:xVal>
          <c:yVal>
            <c:numRef>
              <c:f>'Hw 10.1 '!$B$2:$B$12</c:f>
              <c:numCache>
                <c:formatCode>General</c:formatCode>
                <c:ptCount val="11"/>
                <c:pt idx="0">
                  <c:v>9.15</c:v>
                </c:pt>
                <c:pt idx="1">
                  <c:v>8.15</c:v>
                </c:pt>
                <c:pt idx="2">
                  <c:v>8.74</c:v>
                </c:pt>
                <c:pt idx="3">
                  <c:v>8.76</c:v>
                </c:pt>
                <c:pt idx="4">
                  <c:v>9.25</c:v>
                </c:pt>
                <c:pt idx="5">
                  <c:v>8.09</c:v>
                </c:pt>
                <c:pt idx="6">
                  <c:v>6.13</c:v>
                </c:pt>
                <c:pt idx="7">
                  <c:v>3.11</c:v>
                </c:pt>
                <c:pt idx="8">
                  <c:v>9.1300000000000008</c:v>
                </c:pt>
                <c:pt idx="9">
                  <c:v>7.27</c:v>
                </c:pt>
                <c:pt idx="10">
                  <c:v>4.7300000000000004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D2E-4CE1-B7D0-D9C648D81B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7123416"/>
        <c:axId val="667121448"/>
      </c:scatterChart>
      <c:valAx>
        <c:axId val="667123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121448"/>
        <c:crosses val="autoZero"/>
        <c:crossBetween val="midCat"/>
      </c:valAx>
      <c:valAx>
        <c:axId val="667121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123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2781488222423101"/>
                  <c:y val="-0.3977479892761394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'Hw 10.1 '!$A$2:$A$12</c:f>
              <c:numCache>
                <c:formatCode>General</c:formatCode>
                <c:ptCount val="11"/>
                <c:pt idx="0">
                  <c:v>10</c:v>
                </c:pt>
                <c:pt idx="1">
                  <c:v>8</c:v>
                </c:pt>
                <c:pt idx="2">
                  <c:v>13</c:v>
                </c:pt>
                <c:pt idx="3">
                  <c:v>9</c:v>
                </c:pt>
                <c:pt idx="4">
                  <c:v>11</c:v>
                </c:pt>
                <c:pt idx="5">
                  <c:v>14</c:v>
                </c:pt>
                <c:pt idx="6">
                  <c:v>6</c:v>
                </c:pt>
                <c:pt idx="7">
                  <c:v>4</c:v>
                </c:pt>
                <c:pt idx="8">
                  <c:v>12</c:v>
                </c:pt>
                <c:pt idx="9">
                  <c:v>7</c:v>
                </c:pt>
                <c:pt idx="10">
                  <c:v>5</c:v>
                </c:pt>
              </c:numCache>
            </c:numRef>
          </c:xVal>
          <c:yVal>
            <c:numRef>
              <c:f>'Hw 10.1 '!$C$2:$C$12</c:f>
              <c:numCache>
                <c:formatCode>General</c:formatCode>
                <c:ptCount val="11"/>
                <c:pt idx="0">
                  <c:v>8.0000999999999998</c:v>
                </c:pt>
                <c:pt idx="1">
                  <c:v>7.0019</c:v>
                </c:pt>
                <c:pt idx="2">
                  <c:v>9.497399999999999</c:v>
                </c:pt>
                <c:pt idx="3">
                  <c:v>7.5010000000000003</c:v>
                </c:pt>
                <c:pt idx="4">
                  <c:v>8.4992000000000001</c:v>
                </c:pt>
                <c:pt idx="5">
                  <c:v>9.9965000000000011</c:v>
                </c:pt>
                <c:pt idx="6">
                  <c:v>6.0037000000000003</c:v>
                </c:pt>
                <c:pt idx="7">
                  <c:v>5.0054999999999996</c:v>
                </c:pt>
                <c:pt idx="8">
                  <c:v>8.9983000000000004</c:v>
                </c:pt>
                <c:pt idx="9">
                  <c:v>6.5028000000000006</c:v>
                </c:pt>
                <c:pt idx="10">
                  <c:v>5.5045999999999999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9B7-45F4-A589-5C7D141907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8076864"/>
        <c:axId val="717824432"/>
      </c:scatterChart>
      <c:valAx>
        <c:axId val="658076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824432"/>
        <c:crosses val="autoZero"/>
        <c:crossBetween val="midCat"/>
      </c:valAx>
      <c:valAx>
        <c:axId val="717824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076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negative linear</a:t>
            </a:r>
          </a:p>
        </c:rich>
      </c:tx>
      <c:layout>
        <c:manualLayout>
          <c:xMode val="edge"/>
          <c:yMode val="edge"/>
          <c:x val="0.34081712168027328"/>
          <c:y val="4.83592400690846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4771719160104992"/>
                  <c:y val="-0.7461818314377369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'Hw 10.1 '!$A$19:$A$28</c:f>
              <c:numCache>
                <c:formatCode>General</c:formatCode>
                <c:ptCount val="10"/>
                <c:pt idx="0">
                  <c:v>2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</c:numCache>
            </c:numRef>
          </c:xVal>
          <c:yVal>
            <c:numRef>
              <c:f>'Hw 10.1 '!$B$19:$B$28</c:f>
              <c:numCache>
                <c:formatCode>General</c:formatCode>
                <c:ptCount val="10"/>
                <c:pt idx="0">
                  <c:v>10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F5-41CE-B3EC-B277482C68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5316200"/>
        <c:axId val="653715776"/>
      </c:scatterChart>
      <c:valAx>
        <c:axId val="415316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715776"/>
        <c:crosses val="autoZero"/>
        <c:crossBetween val="midCat"/>
      </c:valAx>
      <c:valAx>
        <c:axId val="65371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316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regression</a:t>
            </a:r>
            <a:r>
              <a:rPr lang="en-US" baseline="0"/>
              <a:t> line sans 2,10</a:t>
            </a:r>
            <a:endParaRPr lang="en-US"/>
          </a:p>
        </c:rich>
      </c:tx>
      <c:layout>
        <c:manualLayout>
          <c:xMode val="edge"/>
          <c:yMode val="edge"/>
          <c:x val="0.5644532622398577"/>
          <c:y val="9.82986767485822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857330825772763"/>
                  <c:y val="-0.4127478677641665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'Hw 10.1 '!$A$20:$A$28</c:f>
              <c:numCache>
                <c:formatCode>General</c:formatCode>
                <c:ptCount val="9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</c:numCache>
            </c:numRef>
          </c:xVal>
          <c:yVal>
            <c:numRef>
              <c:f>'Hw 10.1 '!$B$20:$B$28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E46-434E-955D-3A93971298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8079488"/>
        <c:axId val="658077848"/>
      </c:scatterChart>
      <c:valAx>
        <c:axId val="658079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077848"/>
        <c:crosses val="autoZero"/>
        <c:crossBetween val="midCat"/>
      </c:valAx>
      <c:valAx>
        <c:axId val="658077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079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8337292213473313"/>
                  <c:y val="-0.2486982356372120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'Hw 10.2 '!$A$8:$A$18</c:f>
              <c:numCache>
                <c:formatCode>General</c:formatCode>
                <c:ptCount val="11"/>
                <c:pt idx="0">
                  <c:v>6</c:v>
                </c:pt>
                <c:pt idx="1">
                  <c:v>13</c:v>
                </c:pt>
                <c:pt idx="2">
                  <c:v>4</c:v>
                </c:pt>
                <c:pt idx="3">
                  <c:v>5</c:v>
                </c:pt>
                <c:pt idx="4">
                  <c:v>3</c:v>
                </c:pt>
                <c:pt idx="5">
                  <c:v>7</c:v>
                </c:pt>
                <c:pt idx="6">
                  <c:v>9</c:v>
                </c:pt>
                <c:pt idx="7">
                  <c:v>10</c:v>
                </c:pt>
                <c:pt idx="8">
                  <c:v>12</c:v>
                </c:pt>
                <c:pt idx="9">
                  <c:v>11</c:v>
                </c:pt>
                <c:pt idx="10">
                  <c:v>8</c:v>
                </c:pt>
              </c:numCache>
            </c:numRef>
          </c:xVal>
          <c:yVal>
            <c:numRef>
              <c:f>'Hw 10.2 '!$B$8:$B$18</c:f>
              <c:numCache>
                <c:formatCode>General</c:formatCode>
                <c:ptCount val="11"/>
                <c:pt idx="0">
                  <c:v>11.86</c:v>
                </c:pt>
                <c:pt idx="1">
                  <c:v>16.54</c:v>
                </c:pt>
                <c:pt idx="2">
                  <c:v>7.34</c:v>
                </c:pt>
                <c:pt idx="3">
                  <c:v>9.7799999999999994</c:v>
                </c:pt>
                <c:pt idx="4">
                  <c:v>4.54</c:v>
                </c:pt>
                <c:pt idx="5">
                  <c:v>13.6</c:v>
                </c:pt>
                <c:pt idx="6">
                  <c:v>16</c:v>
                </c:pt>
                <c:pt idx="7">
                  <c:v>16.66</c:v>
                </c:pt>
                <c:pt idx="8">
                  <c:v>16.940000000000001</c:v>
                </c:pt>
                <c:pt idx="9">
                  <c:v>16.98</c:v>
                </c:pt>
                <c:pt idx="10">
                  <c:v>14.98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EF5-45ED-B94B-157CA2E1A0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823776"/>
        <c:axId val="717825744"/>
      </c:scatterChart>
      <c:valAx>
        <c:axId val="717823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825744"/>
        <c:crosses val="autoZero"/>
        <c:crossBetween val="midCat"/>
      </c:valAx>
      <c:valAx>
        <c:axId val="717825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823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Gorrilla chest/weight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'Hw 10.2 '!$A$24:$A$29</c:f>
              <c:numCache>
                <c:formatCode>General</c:formatCode>
                <c:ptCount val="6"/>
                <c:pt idx="0">
                  <c:v>49</c:v>
                </c:pt>
                <c:pt idx="1">
                  <c:v>51</c:v>
                </c:pt>
                <c:pt idx="2">
                  <c:v>53</c:v>
                </c:pt>
                <c:pt idx="3">
                  <c:v>61</c:v>
                </c:pt>
                <c:pt idx="4">
                  <c:v>57</c:v>
                </c:pt>
                <c:pt idx="5">
                  <c:v>45</c:v>
                </c:pt>
              </c:numCache>
            </c:numRef>
          </c:xVal>
          <c:yVal>
            <c:numRef>
              <c:f>'Hw 10.2 '!$B$24:$B$29</c:f>
              <c:numCache>
                <c:formatCode>General</c:formatCode>
                <c:ptCount val="6"/>
                <c:pt idx="0">
                  <c:v>368</c:v>
                </c:pt>
                <c:pt idx="1">
                  <c:v>382</c:v>
                </c:pt>
                <c:pt idx="2">
                  <c:v>420</c:v>
                </c:pt>
                <c:pt idx="3">
                  <c:v>481</c:v>
                </c:pt>
                <c:pt idx="4">
                  <c:v>457</c:v>
                </c:pt>
                <c:pt idx="5">
                  <c:v>287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4C-42F2-808B-69C398A60D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8594080"/>
        <c:axId val="558599000"/>
      </c:scatterChart>
      <c:valAx>
        <c:axId val="558594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599000"/>
        <c:crosses val="autoZero"/>
        <c:crossBetween val="midCat"/>
      </c:valAx>
      <c:valAx>
        <c:axId val="558599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594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Bird Chirping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2077650956454649"/>
                  <c:y val="-0.2271975497702909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'Hw 10.2 '!$A$36:$A$41</c:f>
              <c:numCache>
                <c:formatCode>General</c:formatCode>
                <c:ptCount val="6"/>
                <c:pt idx="0">
                  <c:v>875</c:v>
                </c:pt>
                <c:pt idx="1">
                  <c:v>1067</c:v>
                </c:pt>
                <c:pt idx="2">
                  <c:v>1106</c:v>
                </c:pt>
                <c:pt idx="3">
                  <c:v>1072</c:v>
                </c:pt>
                <c:pt idx="4">
                  <c:v>969</c:v>
                </c:pt>
                <c:pt idx="5">
                  <c:v>1249</c:v>
                </c:pt>
              </c:numCache>
            </c:numRef>
          </c:xVal>
          <c:yVal>
            <c:numRef>
              <c:f>'Hw 10.2 '!$B$36:$B$41</c:f>
              <c:numCache>
                <c:formatCode>General</c:formatCode>
                <c:ptCount val="6"/>
                <c:pt idx="0">
                  <c:v>69.900000000000006</c:v>
                </c:pt>
                <c:pt idx="1">
                  <c:v>80</c:v>
                </c:pt>
                <c:pt idx="2">
                  <c:v>85.4</c:v>
                </c:pt>
                <c:pt idx="3">
                  <c:v>80.900000000000006</c:v>
                </c:pt>
                <c:pt idx="4">
                  <c:v>74.8</c:v>
                </c:pt>
                <c:pt idx="5">
                  <c:v>88.6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364-46FB-A216-B5964A87DB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0816248"/>
        <c:axId val="658079160"/>
      </c:scatterChart>
      <c:valAx>
        <c:axId val="710816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079160"/>
        <c:crosses val="autoZero"/>
        <c:crossBetween val="midCat"/>
      </c:valAx>
      <c:valAx>
        <c:axId val="658079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0816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4763141720686976"/>
          <c:y val="0.31668425467435135"/>
          <c:w val="0.63577122447322953"/>
          <c:h val="0.39289173904808289"/>
        </c:manualLayout>
      </c:layout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'CH2 Histogram'!$D$15:$D$20</c:f>
              <c:strCache>
                <c:ptCount val="6"/>
                <c:pt idx="0">
                  <c:v>20.9</c:v>
                </c:pt>
                <c:pt idx="1">
                  <c:v>26.9</c:v>
                </c:pt>
                <c:pt idx="2">
                  <c:v>32.9</c:v>
                </c:pt>
                <c:pt idx="3">
                  <c:v>38.9</c:v>
                </c:pt>
                <c:pt idx="4">
                  <c:v>44.9</c:v>
                </c:pt>
                <c:pt idx="5">
                  <c:v>More</c:v>
                </c:pt>
              </c:strCache>
            </c:strRef>
          </c:cat>
          <c:val>
            <c:numRef>
              <c:f>'CH2 Histogram'!$E$15:$E$20</c:f>
              <c:numCache>
                <c:formatCode>General</c:formatCode>
                <c:ptCount val="6"/>
                <c:pt idx="0">
                  <c:v>3</c:v>
                </c:pt>
                <c:pt idx="1">
                  <c:v>8</c:v>
                </c:pt>
                <c:pt idx="2">
                  <c:v>5</c:v>
                </c:pt>
                <c:pt idx="3">
                  <c:v>2</c:v>
                </c:pt>
                <c:pt idx="4">
                  <c:v>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34-4756-9359-27C12E3FB3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601266256"/>
        <c:axId val="601266912"/>
      </c:barChart>
      <c:catAx>
        <c:axId val="6012662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01266912"/>
        <c:crosses val="autoZero"/>
        <c:auto val="1"/>
        <c:lblAlgn val="ctr"/>
        <c:lblOffset val="100"/>
        <c:noMultiLvlLbl val="0"/>
      </c:catAx>
      <c:valAx>
        <c:axId val="6012669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01266256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'CH2 Histogram'!$D$34:$D$39</c:f>
              <c:strCache>
                <c:ptCount val="6"/>
                <c:pt idx="0">
                  <c:v>1.470</c:v>
                </c:pt>
                <c:pt idx="1">
                  <c:v>1.480</c:v>
                </c:pt>
                <c:pt idx="2">
                  <c:v>1.490</c:v>
                </c:pt>
                <c:pt idx="3">
                  <c:v>1.500</c:v>
                </c:pt>
                <c:pt idx="4">
                  <c:v>1.510</c:v>
                </c:pt>
                <c:pt idx="5">
                  <c:v>More</c:v>
                </c:pt>
              </c:strCache>
            </c:strRef>
          </c:cat>
          <c:val>
            <c:numRef>
              <c:f>'CH2 Histogram'!$E$34:$E$38</c:f>
              <c:numCache>
                <c:formatCode>General</c:formatCode>
                <c:ptCount val="5"/>
                <c:pt idx="0">
                  <c:v>4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93-4448-BE74-6F8D6F9D93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33863464"/>
        <c:axId val="333859856"/>
      </c:barChart>
      <c:catAx>
        <c:axId val="3338634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33859856"/>
        <c:crosses val="autoZero"/>
        <c:auto val="1"/>
        <c:lblAlgn val="ctr"/>
        <c:lblOffset val="100"/>
        <c:noMultiLvlLbl val="0"/>
      </c:catAx>
      <c:valAx>
        <c:axId val="3338598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33863464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'CH2 Histogram'!$D$51:$D$55</c:f>
              <c:strCache>
                <c:ptCount val="5"/>
                <c:pt idx="0">
                  <c:v>1.480</c:v>
                </c:pt>
                <c:pt idx="1">
                  <c:v>1.490</c:v>
                </c:pt>
                <c:pt idx="2">
                  <c:v>1.500</c:v>
                </c:pt>
                <c:pt idx="3">
                  <c:v>1.510</c:v>
                </c:pt>
                <c:pt idx="4">
                  <c:v>More</c:v>
                </c:pt>
              </c:strCache>
            </c:strRef>
          </c:cat>
          <c:val>
            <c:numRef>
              <c:f>'CH2 Histogram'!$E$51:$E$55</c:f>
              <c:numCache>
                <c:formatCode>General</c:formatCode>
                <c:ptCount val="5"/>
                <c:pt idx="0">
                  <c:v>8</c:v>
                </c:pt>
                <c:pt idx="1">
                  <c:v>8</c:v>
                </c:pt>
                <c:pt idx="2">
                  <c:v>20</c:v>
                </c:pt>
                <c:pt idx="3">
                  <c:v>20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38-47D4-A323-A8EBA4D9D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27217376"/>
        <c:axId val="627214752"/>
      </c:barChart>
      <c:catAx>
        <c:axId val="6272173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1.47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27214752"/>
        <c:crosses val="autoZero"/>
        <c:auto val="1"/>
        <c:lblAlgn val="ctr"/>
        <c:lblOffset val="100"/>
        <c:noMultiLvlLbl val="0"/>
      </c:catAx>
      <c:valAx>
        <c:axId val="6272147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27217376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dk1"/>
                </a:solidFill>
                <a:latin typeface="+mn-lt"/>
                <a:ea typeface="+mn-ea"/>
                <a:cs typeface="+mn-cs"/>
              </a:rPr>
              <a:t>P(x), boards without defect</a:t>
            </a:r>
            <a:endParaRPr lang="en-US"/>
          </a:p>
        </c:rich>
      </c:tx>
      <c:overlay val="0"/>
      <c:spPr>
        <a:solidFill>
          <a:schemeClr val="lt1"/>
        </a:solidFill>
        <a:ln w="12700" cap="flat" cmpd="sng" algn="ctr">
          <a:solidFill>
            <a:schemeClr val="accent1"/>
          </a:solidFill>
          <a:prstDash val="solid"/>
          <a:miter lim="800000"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'Boards w_o Defects'!$A$2:$A$17</c:f>
              <c:strCach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strCache>
            </c:strRef>
          </c:tx>
          <c:invertIfNegative val="0"/>
          <c:val>
            <c:numRef>
              <c:f>'Boards w_o Defects'!$B$2:$B$17</c:f>
              <c:numCache>
                <c:formatCode>0.0000</c:formatCode>
                <c:ptCount val="16"/>
                <c:pt idx="0">
                  <c:v>1.5407021574586395E-14</c:v>
                </c:pt>
                <c:pt idx="1">
                  <c:v>1.6947723732045015E-12</c:v>
                </c:pt>
                <c:pt idx="2">
                  <c:v>8.699831515783074E-11</c:v>
                </c:pt>
                <c:pt idx="3">
                  <c:v>2.7646131261266301E-9</c:v>
                </c:pt>
                <c:pt idx="4">
                  <c:v>6.0821488774785863E-8</c:v>
                </c:pt>
                <c:pt idx="5">
                  <c:v>9.8125335223321084E-7</c:v>
                </c:pt>
                <c:pt idx="6">
                  <c:v>1.1993096527294816E-5</c:v>
                </c:pt>
                <c:pt idx="7">
                  <c:v>1.130777672573512E-4</c:v>
                </c:pt>
                <c:pt idx="8">
                  <c:v>8.2923695988724208E-4</c:v>
                </c:pt>
                <c:pt idx="9">
                  <c:v>4.7297219193568512E-3</c:v>
                </c:pt>
                <c:pt idx="10">
                  <c:v>2.0810776445170192E-2</c:v>
                </c:pt>
                <c:pt idx="11">
                  <c:v>6.9369254817233925E-2</c:v>
                </c:pt>
                <c:pt idx="12">
                  <c:v>0.16956928955323847</c:v>
                </c:pt>
                <c:pt idx="13">
                  <c:v>0.28696341309009588</c:v>
                </c:pt>
                <c:pt idx="14">
                  <c:v>0.30062833752295764</c:v>
                </c:pt>
                <c:pt idx="15">
                  <c:v>0.14697385390011264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CF-4B87-BB53-CD9123330F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635010088"/>
        <c:axId val="635009104"/>
      </c:barChart>
      <c:catAx>
        <c:axId val="635010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boards</a:t>
                </a:r>
                <a:endParaRPr lang="en-US"/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635009104"/>
        <c:crosses val="autoZero"/>
        <c:auto val="1"/>
        <c:lblAlgn val="ctr"/>
        <c:lblOffset val="100"/>
        <c:noMultiLvlLbl val="0"/>
      </c:catAx>
      <c:valAx>
        <c:axId val="6350091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probability</a:t>
                </a:r>
              </a:p>
            </c:rich>
          </c:tx>
          <c:overlay val="0"/>
        </c:title>
        <c:numFmt formatCode="0.0000" sourceLinked="1"/>
        <c:majorTickMark val="out"/>
        <c:minorTickMark val="none"/>
        <c:tickLblPos val="nextTo"/>
        <c:crossAx val="635010088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.xml"/><Relationship Id="rId3" Type="http://schemas.openxmlformats.org/officeDocument/2006/relationships/image" Target="../media/image8.png"/><Relationship Id="rId7" Type="http://schemas.openxmlformats.org/officeDocument/2006/relationships/chart" Target="../charts/chart6.xml"/><Relationship Id="rId2" Type="http://schemas.openxmlformats.org/officeDocument/2006/relationships/image" Target="../media/image7.png"/><Relationship Id="rId1" Type="http://schemas.openxmlformats.org/officeDocument/2006/relationships/chart" Target="../charts/chart2.xml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10" Type="http://schemas.openxmlformats.org/officeDocument/2006/relationships/chart" Target="../charts/chart9.xml"/><Relationship Id="rId4" Type="http://schemas.openxmlformats.org/officeDocument/2006/relationships/chart" Target="../charts/chart3.xml"/><Relationship Id="rId9" Type="http://schemas.openxmlformats.org/officeDocument/2006/relationships/chart" Target="../charts/chart8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5" Type="http://schemas.openxmlformats.org/officeDocument/2006/relationships/chart" Target="../charts/chart13.xml"/><Relationship Id="rId4" Type="http://schemas.openxmlformats.org/officeDocument/2006/relationships/image" Target="../media/image7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148318</xdr:colOff>
      <xdr:row>1</xdr:row>
      <xdr:rowOff>25854</xdr:rowOff>
    </xdr:from>
    <xdr:to>
      <xdr:col>12</xdr:col>
      <xdr:colOff>148318</xdr:colOff>
      <xdr:row>18</xdr:row>
      <xdr:rowOff>157843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B94627-A2A6-4ED8-8508-45CBAD0EE1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260350</xdr:colOff>
      <xdr:row>6</xdr:row>
      <xdr:rowOff>76200</xdr:rowOff>
    </xdr:from>
    <xdr:ext cx="2011128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CE0209C-CB7D-48EE-9921-CB40C44D45E5}"/>
            </a:ext>
          </a:extLst>
        </xdr:cNvPr>
        <xdr:cNvSpPr txBox="1"/>
      </xdr:nvSpPr>
      <xdr:spPr>
        <a:xfrm>
          <a:off x="260350" y="1181100"/>
          <a:ext cx="20111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 of 4 cyle or front</a:t>
          </a:r>
          <a:r>
            <a:rPr lang="en-US" sz="1100" baseline="0"/>
            <a:t> wheel drive?</a:t>
          </a:r>
        </a:p>
      </xdr:txBody>
    </xdr:sp>
    <xdr:clientData/>
  </xdr:oneCellAnchor>
  <xdr:oneCellAnchor>
    <xdr:from>
      <xdr:col>0</xdr:col>
      <xdr:colOff>203200</xdr:colOff>
      <xdr:row>19</xdr:row>
      <xdr:rowOff>133350</xdr:rowOff>
    </xdr:from>
    <xdr:ext cx="5036572" cy="78124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9105B35-DDD7-4BED-9DFE-F4AD14C9A1A4}"/>
            </a:ext>
          </a:extLst>
        </xdr:cNvPr>
        <xdr:cNvSpPr txBox="1"/>
      </xdr:nvSpPr>
      <xdr:spPr>
        <a:xfrm>
          <a:off x="203200" y="3632200"/>
          <a:ext cx="5036572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Eighteen percent of married couples in U.S. had a destination wedding. 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Linda is a wedding planner looking to work on destination weddings. 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She meets with prospective clients until she finds 10 planning destination weddings. 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number of prospective clients she meets with is recorded.</a:t>
          </a:r>
          <a:endParaRPr lang="en-US" sz="1100"/>
        </a:p>
      </xdr:txBody>
    </xdr:sp>
    <xdr:clientData/>
  </xdr:oneCellAnchor>
  <xdr:oneCellAnchor>
    <xdr:from>
      <xdr:col>0</xdr:col>
      <xdr:colOff>260350</xdr:colOff>
      <xdr:row>38</xdr:row>
      <xdr:rowOff>127000</xdr:rowOff>
    </xdr:from>
    <xdr:ext cx="4195379" cy="147014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8926020-90FE-4E00-8E67-E57E53CD6F4B}"/>
            </a:ext>
          </a:extLst>
        </xdr:cNvPr>
        <xdr:cNvSpPr txBox="1"/>
      </xdr:nvSpPr>
      <xdr:spPr>
        <a:xfrm>
          <a:off x="260350" y="7124700"/>
          <a:ext cx="4195379" cy="14701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Among all grocery stores in the U.S., conventional 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sweet onion prices have a mean of $1.17 per pound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with a standard deviation of $0.13, and 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organic sweet onion prices have a mean of $1.72 per pound 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with a standard deviation of $0.21. One local grocery store advertises 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 sale with the prices listed below.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conventional .99/lb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organic 1.69/lb</a:t>
          </a:r>
          <a:endParaRPr lang="en-US" sz="1100"/>
        </a:p>
      </xdr:txBody>
    </xdr:sp>
    <xdr:clientData/>
  </xdr:oneCellAnchor>
  <xdr:oneCellAnchor>
    <xdr:from>
      <xdr:col>0</xdr:col>
      <xdr:colOff>0</xdr:colOff>
      <xdr:row>55</xdr:row>
      <xdr:rowOff>50800</xdr:rowOff>
    </xdr:from>
    <xdr:ext cx="5290103" cy="1125693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7049275-AE19-40A9-B925-3943A95BB44A}"/>
            </a:ext>
          </a:extLst>
        </xdr:cNvPr>
        <xdr:cNvSpPr txBox="1"/>
      </xdr:nvSpPr>
      <xdr:spPr>
        <a:xfrm>
          <a:off x="0" y="10179050"/>
          <a:ext cx="5290103" cy="1125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An athletics club has both an outdoor swimming pool and an indoor swimming pool. 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Even though the outdoor pool is heated, it has more swimmers 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 the summer than in the winter. 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indoor swimming pool tends to have a 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more consistent number of swimmers daily throughout the year. 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club director records the daily number of swimmers for each pool into two data sets.</a:t>
          </a:r>
          <a:endParaRPr 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25400</xdr:colOff>
      <xdr:row>17</xdr:row>
      <xdr:rowOff>0</xdr:rowOff>
    </xdr:from>
    <xdr:ext cx="1021626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C81E2E4-359D-48AB-8CC8-49A809FC8B53}"/>
            </a:ext>
          </a:extLst>
        </xdr:cNvPr>
        <xdr:cNvSpPr txBox="1"/>
      </xdr:nvSpPr>
      <xdr:spPr>
        <a:xfrm>
          <a:off x="2971800" y="3308350"/>
          <a:ext cx="102162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=(z^2*pq)/E^2</a:t>
          </a:r>
          <a:endParaRPr lang="en-US">
            <a:effectLst/>
          </a:endParaRPr>
        </a:p>
      </xdr:txBody>
    </xdr:sp>
    <xdr:clientData/>
  </xdr:oneCellAnchor>
  <xdr:oneCellAnchor>
    <xdr:from>
      <xdr:col>11</xdr:col>
      <xdr:colOff>0</xdr:colOff>
      <xdr:row>18</xdr:row>
      <xdr:rowOff>0</xdr:rowOff>
    </xdr:from>
    <xdr:ext cx="1219308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3513F26-CD15-4C52-AF6C-0DAD9D89DC44}"/>
            </a:ext>
          </a:extLst>
        </xdr:cNvPr>
        <xdr:cNvSpPr txBox="1"/>
      </xdr:nvSpPr>
      <xdr:spPr>
        <a:xfrm>
          <a:off x="2946400" y="3517900"/>
          <a:ext cx="121930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=(Z^2*0.25)/(E^2)</a:t>
          </a:r>
        </a:p>
      </xdr:txBody>
    </xdr:sp>
    <xdr:clientData/>
  </xdr:oneCellAnchor>
  <xdr:oneCellAnchor>
    <xdr:from>
      <xdr:col>16</xdr:col>
      <xdr:colOff>114299</xdr:colOff>
      <xdr:row>11</xdr:row>
      <xdr:rowOff>22225</xdr:rowOff>
    </xdr:from>
    <xdr:ext cx="1129027" cy="609013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8FF9952-9B09-445B-A98C-E0DAA7CDACD4}"/>
            </a:ext>
          </a:extLst>
        </xdr:cNvPr>
        <xdr:cNvSpPr txBox="1"/>
      </xdr:nvSpPr>
      <xdr:spPr>
        <a:xfrm>
          <a:off x="7345362" y="2149475"/>
          <a:ext cx="1129027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=Z*SQRT(p*q/n)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=t*SQRT(p*q/n)</a:t>
          </a:r>
          <a:endParaRPr lang="en-US">
            <a:effectLst/>
          </a:endParaRPr>
        </a:p>
        <a:p>
          <a:endParaRPr lang="en-US" sz="1100"/>
        </a:p>
      </xdr:txBody>
    </xdr:sp>
    <xdr:clientData/>
  </xdr:oneCellAnchor>
  <xdr:oneCellAnchor>
    <xdr:from>
      <xdr:col>11</xdr:col>
      <xdr:colOff>0</xdr:colOff>
      <xdr:row>8</xdr:row>
      <xdr:rowOff>139700</xdr:rowOff>
    </xdr:from>
    <xdr:ext cx="1599797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8C10AA4-6367-4875-A76E-087D9790FBB9}"/>
            </a:ext>
          </a:extLst>
        </xdr:cNvPr>
        <xdr:cNvSpPr txBox="1"/>
      </xdr:nvSpPr>
      <xdr:spPr>
        <a:xfrm>
          <a:off x="2946400" y="1739900"/>
          <a:ext cx="15997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=-NORM.S.INV((1-(</a:t>
          </a:r>
          <a:r>
            <a:rPr lang="el-GR" sz="1100"/>
            <a:t>α</a:t>
          </a:r>
          <a:r>
            <a:rPr lang="en-US" sz="1100"/>
            <a:t>))/2)</a:t>
          </a:r>
        </a:p>
      </xdr:txBody>
    </xdr:sp>
    <xdr:clientData/>
  </xdr:oneCellAnchor>
  <xdr:oneCellAnchor>
    <xdr:from>
      <xdr:col>12</xdr:col>
      <xdr:colOff>431800</xdr:colOff>
      <xdr:row>11</xdr:row>
      <xdr:rowOff>165100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9562CFF-6796-40A8-AC11-B0C730781EA1}"/>
            </a:ext>
          </a:extLst>
        </xdr:cNvPr>
        <xdr:cNvSpPr txBox="1"/>
      </xdr:nvSpPr>
      <xdr:spPr>
        <a:xfrm>
          <a:off x="3987800" y="231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120650</xdr:colOff>
      <xdr:row>8</xdr:row>
      <xdr:rowOff>38100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131C379-74B8-409C-881E-1209C1147764}"/>
            </a:ext>
          </a:extLst>
        </xdr:cNvPr>
        <xdr:cNvSpPr txBox="1"/>
      </xdr:nvSpPr>
      <xdr:spPr>
        <a:xfrm>
          <a:off x="3067050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6350</xdr:colOff>
      <xdr:row>8</xdr:row>
      <xdr:rowOff>0</xdr:rowOff>
    </xdr:from>
    <xdr:ext cx="1129027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DAFD565-21E6-46E8-B427-F72C50431205}"/>
            </a:ext>
          </a:extLst>
        </xdr:cNvPr>
        <xdr:cNvSpPr txBox="1"/>
      </xdr:nvSpPr>
      <xdr:spPr>
        <a:xfrm>
          <a:off x="2952750" y="1600200"/>
          <a:ext cx="112902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=Z*SQRT(p*q/n)</a:t>
          </a:r>
        </a:p>
      </xdr:txBody>
    </xdr:sp>
    <xdr:clientData/>
  </xdr:oneCellAnchor>
  <xdr:oneCellAnchor>
    <xdr:from>
      <xdr:col>10</xdr:col>
      <xdr:colOff>165100</xdr:colOff>
      <xdr:row>11</xdr:row>
      <xdr:rowOff>184150</xdr:rowOff>
    </xdr:from>
    <xdr:ext cx="3360022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2555C47-570C-48CA-8061-0247503FC21E}"/>
            </a:ext>
          </a:extLst>
        </xdr:cNvPr>
        <xdr:cNvSpPr txBox="1"/>
      </xdr:nvSpPr>
      <xdr:spPr>
        <a:xfrm>
          <a:off x="2501900" y="2336800"/>
          <a:ext cx="336002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=IF(B3&gt;B4,B10*SQRT(B9*(1-B9)/B8),B11*B7/SQRT(B8))</a:t>
          </a:r>
        </a:p>
      </xdr:txBody>
    </xdr:sp>
    <xdr:clientData/>
  </xdr:oneCellAnchor>
  <xdr:oneCellAnchor>
    <xdr:from>
      <xdr:col>10</xdr:col>
      <xdr:colOff>387350</xdr:colOff>
      <xdr:row>2</xdr:row>
      <xdr:rowOff>69850</xdr:rowOff>
    </xdr:from>
    <xdr:ext cx="1352743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8FBB1A77-7318-43EB-81C0-79743CF27915}"/>
            </a:ext>
          </a:extLst>
        </xdr:cNvPr>
        <xdr:cNvSpPr txBox="1"/>
      </xdr:nvSpPr>
      <xdr:spPr>
        <a:xfrm>
          <a:off x="2724150" y="438150"/>
          <a:ext cx="135274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Clear</a:t>
          </a:r>
          <a:r>
            <a:rPr lang="en-US" sz="1100" baseline="0"/>
            <a:t> after each FXN</a:t>
          </a:r>
          <a:endParaRPr lang="en-US" sz="1100"/>
        </a:p>
      </xdr:txBody>
    </xdr:sp>
    <xdr:clientData/>
  </xdr:oneCellAnchor>
  <xdr:oneCellAnchor>
    <xdr:from>
      <xdr:col>10</xdr:col>
      <xdr:colOff>171450</xdr:colOff>
      <xdr:row>13</xdr:row>
      <xdr:rowOff>133350</xdr:rowOff>
    </xdr:from>
    <xdr:ext cx="2180533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AA0B642D-60F6-453E-8DE9-08B038FEAB0F}"/>
            </a:ext>
          </a:extLst>
        </xdr:cNvPr>
        <xdr:cNvSpPr txBox="1"/>
      </xdr:nvSpPr>
      <xdr:spPr>
        <a:xfrm>
          <a:off x="2508250" y="2705100"/>
          <a:ext cx="218053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=IF(</a:t>
          </a:r>
          <a:r>
            <a:rPr lang="el-GR" sz="1100"/>
            <a:t>α</a:t>
          </a:r>
          <a:r>
            <a:rPr lang="en-US" sz="1100"/>
            <a:t>(z)=ISBLANK(0),"0",(P(hat)-</a:t>
          </a:r>
          <a:r>
            <a:rPr lang="el-GR" sz="1100"/>
            <a:t>μ</a:t>
          </a:r>
          <a:r>
            <a:rPr lang="en-US" sz="1100"/>
            <a:t>))</a:t>
          </a:r>
        </a:p>
      </xdr:txBody>
    </xdr:sp>
    <xdr:clientData/>
  </xdr:oneCellAnchor>
  <xdr:oneCellAnchor>
    <xdr:from>
      <xdr:col>10</xdr:col>
      <xdr:colOff>165100</xdr:colOff>
      <xdr:row>14</xdr:row>
      <xdr:rowOff>120650</xdr:rowOff>
    </xdr:from>
    <xdr:ext cx="2207592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922DC3EB-49D7-47CD-B6AA-02F0A0D3CFFE}"/>
            </a:ext>
          </a:extLst>
        </xdr:cNvPr>
        <xdr:cNvSpPr txBox="1"/>
      </xdr:nvSpPr>
      <xdr:spPr>
        <a:xfrm>
          <a:off x="2501900" y="2876550"/>
          <a:ext cx="220759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=IF(</a:t>
          </a:r>
          <a:r>
            <a:rPr lang="el-G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(z)=ISBLANK(0),"0",(P(hat)+</a:t>
          </a:r>
          <a:r>
            <a:rPr lang="el-G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μ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))</a:t>
          </a:r>
          <a:endParaRPr lang="en-US" sz="1100"/>
        </a:p>
      </xdr:txBody>
    </xdr:sp>
    <xdr:clientData/>
  </xdr:oneCellAnchor>
  <xdr:oneCellAnchor>
    <xdr:from>
      <xdr:col>6</xdr:col>
      <xdr:colOff>50800</xdr:colOff>
      <xdr:row>22</xdr:row>
      <xdr:rowOff>63500</xdr:rowOff>
    </xdr:from>
    <xdr:ext cx="5262787" cy="609013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DE1574C-B77A-441F-9C12-529628AC84F6}"/>
            </a:ext>
          </a:extLst>
        </xdr:cNvPr>
        <xdr:cNvSpPr txBox="1"/>
      </xdr:nvSpPr>
      <xdr:spPr>
        <a:xfrm>
          <a:off x="4826000" y="4432300"/>
          <a:ext cx="5262787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to find p(hat) given nothing but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Pmin,max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= (Pmin+Pmax)/2</a:t>
          </a:r>
          <a:endParaRPr lang="en-US">
            <a:effectLst/>
          </a:endParaRPr>
        </a:p>
        <a:p>
          <a:r>
            <a:rPr lang="en-US" sz="1100"/>
            <a:t>To find margin of error given point est and max:</a:t>
          </a:r>
          <a:r>
            <a:rPr lang="en-US" sz="1100" baseline="0"/>
            <a:t>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=0.485-0.46 Pmax-P(hat)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Margin of Error</a:t>
          </a:r>
          <a:endParaRPr lang="en-US">
            <a:effectLst/>
          </a:endParaRPr>
        </a:p>
        <a:p>
          <a:endParaRPr lang="en-US" sz="1100"/>
        </a:p>
      </xdr:txBody>
    </xdr:sp>
    <xdr:clientData/>
  </xdr:oneCellAnchor>
  <xdr:oneCellAnchor>
    <xdr:from>
      <xdr:col>11</xdr:col>
      <xdr:colOff>127000</xdr:colOff>
      <xdr:row>6</xdr:row>
      <xdr:rowOff>95250</xdr:rowOff>
    </xdr:from>
    <xdr:ext cx="1556388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8F7ED794-F62D-489D-88A2-D6EE8BF153C7}"/>
            </a:ext>
          </a:extLst>
        </xdr:cNvPr>
        <xdr:cNvSpPr txBox="1"/>
      </xdr:nvSpPr>
      <xdr:spPr>
        <a:xfrm>
          <a:off x="7950200" y="1314450"/>
          <a:ext cx="15563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=sqrt(((x-x</a:t>
          </a:r>
          <a:r>
            <a:rPr lang="en-US" sz="1100" baseline="-25000"/>
            <a:t>(hat)</a:t>
          </a:r>
          <a:r>
            <a:rPr lang="en-US" sz="1100"/>
            <a:t>)^2)/(n-1))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742950</xdr:colOff>
      <xdr:row>42</xdr:row>
      <xdr:rowOff>19050</xdr:rowOff>
    </xdr:from>
    <xdr:ext cx="9539343" cy="52591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C2AF3A31-E89C-4688-9A16-8962939EA0B9}"/>
                </a:ext>
              </a:extLst>
            </xdr:cNvPr>
            <xdr:cNvSpPr txBox="1"/>
          </xdr:nvSpPr>
          <xdr:spPr>
            <a:xfrm>
              <a:off x="4140200" y="7874000"/>
              <a:ext cx="9539343" cy="52591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If P-value&gt;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α, Fail to rejectH0, 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There is not sufficient evidence to support the claim that P&gt;0.9    .</a:t>
              </a:r>
              <a:endParaRPr lang="en-US">
                <a:effectLst/>
              </a:endParaRPr>
            </a:p>
            <a:p>
              <a:pPr eaLnBrk="1" fontAlgn="auto" latinLnBrk="0" hangingPunct="1"/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If P-value &lt;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α, Reject H0, :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There is sufficient evidence to support the claim that p≠0.255.</a:t>
              </a:r>
              <a:endParaRPr lang="en-US">
                <a:effectLst/>
              </a:endParaRPr>
            </a:p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if P-value &lt;=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α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Reject H0,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 There is sufficient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evidence to suppot claim....</a:t>
              </a:r>
              <a:endParaRPr lang="en-US">
                <a:effectLst/>
              </a:endParaRPr>
            </a:p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Pv&lt;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α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,Reject H0,There is sufficient evidence to warrant rejection of the claim that the mean pulse rate​ (in beats per​ minute) of the group of adult males is 75 </a:t>
              </a:r>
              <a:endParaRPr lang="en-US">
                <a:effectLst/>
              </a:endParaRPr>
            </a:p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bpm.</a:t>
              </a:r>
            </a:p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Fail to reject the null hypothesis because the​ P-value is greater than the significance​ level, 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α.</a:t>
              </a:r>
              <a:endParaRPr lang="en-US">
                <a:effectLst/>
              </a:endParaRPr>
            </a:p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&amp;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is not</a:t>
              </a:r>
              <a:r>
                <a:rPr lang="en-US" sz="1100" b="1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sufficient evidence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to 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support the claim ...</a:t>
              </a:r>
              <a:endParaRPr lang="en-US">
                <a:effectLst/>
              </a:endParaRPr>
            </a:p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Because the​ 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P-value is greater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than the significance​ level, 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fail to reject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the 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null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hypothesis. </a:t>
              </a:r>
              <a:endParaRPr lang="en-US">
                <a:effectLst/>
              </a:endParaRPr>
            </a:p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There 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is insufficient evidence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to 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support the claim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that the return rate is less than​ 20%.</a:t>
              </a:r>
              <a:endParaRPr lang="en-US">
                <a:effectLst/>
              </a:endParaRPr>
            </a:p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P&gt;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α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Fail to RejectH0. There is sufficient evidence to conclude that the original claim that the mean of the population of student course evaluations is equal to 3.50 </a:t>
              </a:r>
              <a:endParaRPr lang="en-US">
                <a:effectLst/>
              </a:endParaRPr>
            </a:p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is not correct.</a:t>
              </a:r>
              <a:endParaRPr lang="en-US">
                <a:effectLst/>
              </a:endParaRPr>
            </a:p>
            <a:p>
              <a:endParaRPr lang="en-US">
                <a:effectLst/>
              </a:endParaRPr>
            </a:p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***If most of something .....P=0.5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and this is a right hand test for H1&gt;0.5</a:t>
              </a:r>
            </a:p>
            <a:p>
              <a:r>
                <a:rPr lang="en-US" sz="11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***if less than something...P=0.5 and this is a left hand test for H1&lt;0.5</a:t>
              </a:r>
              <a:endParaRPr lang="en-US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If Pv&lt;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α,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Reject H0 because the​ P-value is less than or equal to 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α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rtl="0" eaLnBrk="1" latinLnBrk="0" hangingPunct="1"/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Requirements:</a:t>
              </a:r>
              <a:endParaRPr lang="en-US">
                <a:effectLst/>
              </a:endParaRPr>
            </a:p>
            <a:p>
              <a:pPr rtl="0" eaLnBrk="1" latinLnBrk="0" hangingPunct="1"/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The statistic meets criteria for a binomial distribution.</a:t>
              </a:r>
              <a:endParaRPr lang="en-US">
                <a:effectLst/>
              </a:endParaRPr>
            </a:p>
            <a:p>
              <a:pPr rtl="0" eaLnBrk="1" latinLnBrk="0" hangingPunct="1"/>
              <a14:m>
                <m:oMath xmlns:m="http://schemas.openxmlformats.org/officeDocument/2006/math"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𝑛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∙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𝑝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≥5</m:t>
                  </m:r>
                </m:oMath>
              </a14:m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and </a:t>
              </a:r>
              <a14:m>
                <m:oMath xmlns:m="http://schemas.openxmlformats.org/officeDocument/2006/math"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𝑛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∙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𝑞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≥5</m:t>
                  </m:r>
                </m:oMath>
              </a14:m>
              <a:endParaRPr lang="en-US">
                <a:effectLst/>
              </a:endParaRPr>
            </a:p>
            <a:p>
              <a:pPr rtl="0" eaLnBrk="1" latinLnBrk="0" hangingPunct="1"/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If </a:t>
              </a:r>
              <a14:m>
                <m:oMath xmlns:m="http://schemas.openxmlformats.org/officeDocument/2006/math"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𝑃</m:t>
                  </m:r>
                  <m:r>
                    <a:rPr lang="en-US" sz="11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−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𝑣𝑎𝑙𝑢𝑒</m:t>
                  </m:r>
                  <m:r>
                    <a:rPr lang="en-US" sz="11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≤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𝛼</m:t>
                  </m:r>
                </m:oMath>
              </a14:m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decision is “Reject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𝐻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0</m:t>
                      </m:r>
                    </m:sub>
                  </m:sSub>
                </m:oMath>
              </a14:m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”</a:t>
              </a:r>
              <a:endParaRPr lang="en-US">
                <a:effectLst/>
              </a:endParaRPr>
            </a:p>
            <a:p>
              <a:pPr rtl="0" eaLnBrk="1" latinLnBrk="0" hangingPunct="1"/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If </a:t>
              </a:r>
              <a14:m>
                <m:oMath xmlns:m="http://schemas.openxmlformats.org/officeDocument/2006/math"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𝑃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−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𝑣𝑎𝑙𝑢𝑒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&gt;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𝛼</m:t>
                  </m:r>
                </m:oMath>
              </a14:m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decision is “Fail to reject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𝐻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0</m:t>
                      </m:r>
                    </m:sub>
                  </m:sSub>
                </m:oMath>
              </a14:m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”</a:t>
              </a:r>
              <a:endParaRPr lang="en-US">
                <a:effectLst/>
              </a:endParaRPr>
            </a:p>
            <a:p>
              <a:pPr marL="0" marR="0" lvl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PValue:</a:t>
              </a:r>
            </a:p>
            <a:p>
              <a:pPr marL="0" marR="0" lvl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To determine the direction of a hypothesis test, look at the </a:t>
              </a:r>
              <a:r>
                <a:rPr lang="en-US" sz="11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alternative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hypothesis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.</a:t>
              </a:r>
            </a:p>
            <a:p>
              <a:pPr marL="0" marR="0" lvl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For a two-tailed test, find the area to the </a:t>
              </a:r>
              <a:r>
                <a:rPr lang="en-US" sz="11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left of a negative test statistic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</a:p>
            <a:p>
              <a:pPr marL="0" marR="0" lvl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or to the </a:t>
              </a:r>
              <a:r>
                <a:rPr lang="en-US" sz="11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right of a positive test statistic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and </a:t>
              </a:r>
              <a:r>
                <a:rPr lang="en-US" sz="11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double 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the area you calculate.</a:t>
              </a:r>
            </a:p>
            <a:p>
              <a:pPr marL="0" marR="0" lvl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1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Interpretations must include:</a:t>
              </a:r>
              <a:endParaRPr lang="en-US">
                <a:effectLst/>
              </a:endParaRPr>
            </a:p>
            <a:p>
              <a:r>
                <a:rPr lang="en-US" sz="11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The level of significance.</a:t>
              </a:r>
              <a:endParaRPr lang="en-US">
                <a:effectLst/>
              </a:endParaRPr>
            </a:p>
            <a:p>
              <a:r>
                <a:rPr lang="en-US" sz="11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The decision in terms of the original claim, based on data or “evidence.”</a:t>
              </a:r>
              <a:endParaRPr lang="en-US">
                <a:effectLst/>
              </a:endParaRPr>
            </a:p>
            <a:p>
              <a:pPr marL="0" marR="0" lvl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C2AF3A31-E89C-4688-9A16-8962939EA0B9}"/>
                </a:ext>
              </a:extLst>
            </xdr:cNvPr>
            <xdr:cNvSpPr txBox="1"/>
          </xdr:nvSpPr>
          <xdr:spPr>
            <a:xfrm>
              <a:off x="4140200" y="7874000"/>
              <a:ext cx="9539343" cy="52591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If P-value&gt;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α, Fail to rejectH0, 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There is not sufficient evidence to support the claim that P&gt;0.9    .</a:t>
              </a:r>
              <a:endParaRPr lang="en-US">
                <a:effectLst/>
              </a:endParaRPr>
            </a:p>
            <a:p>
              <a:pPr eaLnBrk="1" fontAlgn="auto" latinLnBrk="0" hangingPunct="1"/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If P-value &lt;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α, Reject H0, :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There is sufficient evidence to support the claim that p≠0.255.</a:t>
              </a:r>
              <a:endParaRPr lang="en-US">
                <a:effectLst/>
              </a:endParaRPr>
            </a:p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if P-value &lt;=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α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Reject H0,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 There is sufficient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evidence to suppot claim....</a:t>
              </a:r>
              <a:endParaRPr lang="en-US">
                <a:effectLst/>
              </a:endParaRPr>
            </a:p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Pv&lt;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α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,Reject H0,There is sufficient evidence to warrant rejection of the claim that the mean pulse rate​ (in beats per​ minute) of the group of adult males is 75 </a:t>
              </a:r>
              <a:endParaRPr lang="en-US">
                <a:effectLst/>
              </a:endParaRPr>
            </a:p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bpm.</a:t>
              </a:r>
            </a:p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Fail to reject the null hypothesis because the​ P-value is greater than the significance​ level, 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α.</a:t>
              </a:r>
              <a:endParaRPr lang="en-US">
                <a:effectLst/>
              </a:endParaRPr>
            </a:p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&amp;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is not</a:t>
              </a:r>
              <a:r>
                <a:rPr lang="en-US" sz="1100" b="1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sufficient evidence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to 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support the claim ...</a:t>
              </a:r>
              <a:endParaRPr lang="en-US">
                <a:effectLst/>
              </a:endParaRPr>
            </a:p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Because the​ 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P-value is greater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than the significance​ level, 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fail to reject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the 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null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hypothesis. </a:t>
              </a:r>
              <a:endParaRPr lang="en-US">
                <a:effectLst/>
              </a:endParaRPr>
            </a:p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There 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is insufficient evidence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to 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support the claim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that the return rate is less than​ 20%.</a:t>
              </a:r>
              <a:endParaRPr lang="en-US">
                <a:effectLst/>
              </a:endParaRPr>
            </a:p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P&gt;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α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Fail to RejectH0. There is sufficient evidence to conclude that the original claim that the mean of the population of student course evaluations is equal to 3.50 </a:t>
              </a:r>
              <a:endParaRPr lang="en-US">
                <a:effectLst/>
              </a:endParaRPr>
            </a:p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is not correct.</a:t>
              </a:r>
              <a:endParaRPr lang="en-US">
                <a:effectLst/>
              </a:endParaRPr>
            </a:p>
            <a:p>
              <a:endParaRPr lang="en-US">
                <a:effectLst/>
              </a:endParaRPr>
            </a:p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***If most of something .....P=0.5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and this is a right hand test for H1&gt;0.5</a:t>
              </a:r>
            </a:p>
            <a:p>
              <a:r>
                <a:rPr lang="en-US" sz="11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***if less than something...P=0.5 and this is a left hand test for H1&lt;0.5</a:t>
              </a:r>
              <a:endParaRPr lang="en-US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If Pv&lt;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α,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Reject H0 because the​ P-value is less than or equal to 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α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rtl="0" eaLnBrk="1" latinLnBrk="0" hangingPunct="1"/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Requirements:</a:t>
              </a:r>
              <a:endParaRPr lang="en-US">
                <a:effectLst/>
              </a:endParaRPr>
            </a:p>
            <a:p>
              <a:pPr rtl="0" eaLnBrk="1" latinLnBrk="0" hangingPunct="1"/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The statistic meets criteria for a binomial distribution.</a:t>
              </a:r>
              <a:endParaRPr lang="en-US">
                <a:effectLst/>
              </a:endParaRPr>
            </a:p>
            <a:p>
              <a:pPr rtl="0" eaLnBrk="1" latinLnBrk="0" hangingPunct="1"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𝑛∙𝑝≥5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and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𝑛∙𝑞≥5</a:t>
              </a:r>
              <a:endParaRPr lang="en-US">
                <a:effectLst/>
              </a:endParaRPr>
            </a:p>
            <a:p>
              <a:pPr rtl="0" eaLnBrk="1" latinLnBrk="0" hangingPunct="1"/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If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𝑃−𝑣𝑎𝑙𝑢𝑒≤𝛼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decision is “Reject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𝐻_0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”</a:t>
              </a:r>
              <a:endParaRPr lang="en-US">
                <a:effectLst/>
              </a:endParaRPr>
            </a:p>
            <a:p>
              <a:pPr rtl="0" eaLnBrk="1" latinLnBrk="0" hangingPunct="1"/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If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𝑃−𝑣𝑎𝑙𝑢𝑒&gt;𝛼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decision is “Fail to reject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𝐻_0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”</a:t>
              </a:r>
              <a:endParaRPr lang="en-US">
                <a:effectLst/>
              </a:endParaRPr>
            </a:p>
            <a:p>
              <a:pPr marL="0" marR="0" lvl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PValue:</a:t>
              </a:r>
            </a:p>
            <a:p>
              <a:pPr marL="0" marR="0" lvl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To determine the direction of a hypothesis test, look at the </a:t>
              </a:r>
              <a:r>
                <a:rPr lang="en-US" sz="11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alternative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hypothesis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.</a:t>
              </a:r>
            </a:p>
            <a:p>
              <a:pPr marL="0" marR="0" lvl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For a two-tailed test, find the area to the </a:t>
              </a:r>
              <a:r>
                <a:rPr lang="en-US" sz="11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left of a negative test statistic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</a:p>
            <a:p>
              <a:pPr marL="0" marR="0" lvl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or to the </a:t>
              </a:r>
              <a:r>
                <a:rPr lang="en-US" sz="11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right of a positive test statistic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and </a:t>
              </a:r>
              <a:r>
                <a:rPr lang="en-US" sz="11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double 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the area you calculate.</a:t>
              </a:r>
            </a:p>
            <a:p>
              <a:pPr marL="0" marR="0" lvl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1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Interpretations must include:</a:t>
              </a:r>
              <a:endParaRPr lang="en-US">
                <a:effectLst/>
              </a:endParaRPr>
            </a:p>
            <a:p>
              <a:r>
                <a:rPr lang="en-US" sz="11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The level of significance.</a:t>
              </a:r>
              <a:endParaRPr lang="en-US">
                <a:effectLst/>
              </a:endParaRPr>
            </a:p>
            <a:p>
              <a:r>
                <a:rPr lang="en-US" sz="11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The decision in terms of the original claim, based on data or “evidence.”</a:t>
              </a:r>
              <a:endParaRPr lang="en-US">
                <a:effectLst/>
              </a:endParaRPr>
            </a:p>
            <a:p>
              <a:pPr marL="0" marR="0" lvl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endParaRPr lang="en-US" sz="1100"/>
            </a:p>
          </xdr:txBody>
        </xdr:sp>
      </mc:Fallback>
    </mc:AlternateContent>
    <xdr:clientData/>
  </xdr:oneCellAnchor>
  <xdr:twoCellAnchor editAs="oneCell">
    <xdr:from>
      <xdr:col>7</xdr:col>
      <xdr:colOff>177800</xdr:colOff>
      <xdr:row>32</xdr:row>
      <xdr:rowOff>114300</xdr:rowOff>
    </xdr:from>
    <xdr:to>
      <xdr:col>8</xdr:col>
      <xdr:colOff>571777</xdr:colOff>
      <xdr:row>36</xdr:row>
      <xdr:rowOff>157413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1AA7F0A-5670-4E6D-B194-6D3A0191FA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53500" y="6362700"/>
          <a:ext cx="1689377" cy="779713"/>
        </a:xfrm>
        <a:prstGeom prst="rect">
          <a:avLst/>
        </a:prstGeom>
      </xdr:spPr>
    </xdr:pic>
    <xdr:clientData/>
  </xdr:twoCellAnchor>
  <xdr:twoCellAnchor editAs="oneCell">
    <xdr:from>
      <xdr:col>4</xdr:col>
      <xdr:colOff>419100</xdr:colOff>
      <xdr:row>32</xdr:row>
      <xdr:rowOff>107950</xdr:rowOff>
    </xdr:from>
    <xdr:to>
      <xdr:col>6</xdr:col>
      <xdr:colOff>160880</xdr:colOff>
      <xdr:row>36</xdr:row>
      <xdr:rowOff>101730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62FC45D-D096-45BB-82DF-ADF643E622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67400" y="6356350"/>
          <a:ext cx="1773780" cy="730380"/>
        </a:xfrm>
        <a:prstGeom prst="rect">
          <a:avLst/>
        </a:prstGeom>
      </xdr:spPr>
    </xdr:pic>
    <xdr:clientData/>
  </xdr:twoCellAnchor>
  <xdr:twoCellAnchor editAs="oneCell">
    <xdr:from>
      <xdr:col>5</xdr:col>
      <xdr:colOff>869950</xdr:colOff>
      <xdr:row>32</xdr:row>
      <xdr:rowOff>127000</xdr:rowOff>
    </xdr:from>
    <xdr:to>
      <xdr:col>7</xdr:col>
      <xdr:colOff>222532</xdr:colOff>
      <xdr:row>37</xdr:row>
      <xdr:rowOff>141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17A6FCA-C65C-4F63-8F59-43AE27AA12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10450" y="6375400"/>
          <a:ext cx="1587782" cy="793891"/>
        </a:xfrm>
        <a:prstGeom prst="rect">
          <a:avLst/>
        </a:prstGeom>
      </xdr:spPr>
    </xdr:pic>
    <xdr:clientData/>
  </xdr:twoCellAnchor>
  <xdr:oneCellAnchor>
    <xdr:from>
      <xdr:col>15</xdr:col>
      <xdr:colOff>158750</xdr:colOff>
      <xdr:row>35</xdr:row>
      <xdr:rowOff>146050</xdr:rowOff>
    </xdr:from>
    <xdr:ext cx="8510343" cy="12979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256BD441-5603-4D84-8E14-906FFD533055}"/>
                </a:ext>
              </a:extLst>
            </xdr:cNvPr>
            <xdr:cNvSpPr txBox="1"/>
          </xdr:nvSpPr>
          <xdr:spPr>
            <a:xfrm>
              <a:off x="12306300" y="6896100"/>
              <a:ext cx="8510343" cy="12979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 lvl="0"/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The test statistic for a hypothesis test is the number (statistic) calculated from the sample data that corresponds to the parameter we are testing.</a:t>
              </a:r>
            </a:p>
            <a:p>
              <a:pPr lvl="1"/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𝑝</m:t>
                      </m:r>
                    </m:e>
                  </m:acc>
                </m:oMath>
              </a14:m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corresponds to </a:t>
              </a:r>
              <a14:m>
                <m:oMath xmlns:m="http://schemas.openxmlformats.org/officeDocument/2006/math">
                  <m:r>
                    <a:rPr lang="en-US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𝑝</m:t>
                  </m:r>
                </m:oMath>
              </a14:m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1"/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e>
                  </m:acc>
                </m:oMath>
              </a14:m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corresponds to </a:t>
              </a:r>
              <a14:m>
                <m:oMath xmlns:m="http://schemas.openxmlformats.org/officeDocument/2006/math">
                  <m:r>
                    <a:rPr lang="en-US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𝜇</m:t>
                  </m:r>
                </m:oMath>
              </a14:m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We standardize the test statistic to a well-known distribution.</a:t>
              </a:r>
            </a:p>
            <a:p>
              <a:pPr lvl="1"/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en-US" sz="1100" b="1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en-US" sz="1100" b="1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𝒑</m:t>
                      </m:r>
                    </m:e>
                  </m:acc>
                </m:oMath>
              </a14:m>
              <a:r>
                <a:rPr lang="en-US" sz="11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is standardized to a </a:t>
              </a:r>
              <a14:m>
                <m:oMath xmlns:m="http://schemas.openxmlformats.org/officeDocument/2006/math">
                  <m:r>
                    <a:rPr lang="en-US" sz="1100" b="1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𝒛</m:t>
                  </m:r>
                </m:oMath>
              </a14:m>
              <a:r>
                <a:rPr lang="en-US" sz="11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-distribution. (See 8-2 Slides for details.)</a:t>
              </a:r>
              <a:endParaRPr lang="en-US" sz="1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1"/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en-US" sz="1100" b="1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en-US" sz="1100" b="1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𝒙</m:t>
                      </m:r>
                    </m:e>
                  </m:acc>
                </m:oMath>
              </a14:m>
              <a:r>
                <a:rPr lang="en-US" sz="11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is standardized to a </a:t>
              </a:r>
              <a14:m>
                <m:oMath xmlns:m="http://schemas.openxmlformats.org/officeDocument/2006/math">
                  <m:r>
                    <a:rPr lang="en-US" sz="1100" b="1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𝒕</m:t>
                  </m:r>
                </m:oMath>
              </a14:m>
              <a:r>
                <a:rPr lang="en-US" sz="11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-distribution. (See 8-3 Slides for details.)</a:t>
              </a:r>
              <a:endParaRPr lang="en-US" sz="1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256BD441-5603-4D84-8E14-906FFD533055}"/>
                </a:ext>
              </a:extLst>
            </xdr:cNvPr>
            <xdr:cNvSpPr txBox="1"/>
          </xdr:nvSpPr>
          <xdr:spPr>
            <a:xfrm>
              <a:off x="12306300" y="6896100"/>
              <a:ext cx="8510343" cy="12979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 lvl="0"/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The test statistic for a hypothesis test is the number (statistic) calculated from the sample data that corresponds to the parameter we are testing.</a:t>
              </a:r>
            </a:p>
            <a:p>
              <a:pPr lvl="1"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𝑝 ̂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corresponds to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𝑝</a:t>
              </a: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1"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 ̅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corresponds to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𝜇</a:t>
              </a: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We standardize the test statistic to a well-known distribution.</a:t>
              </a:r>
            </a:p>
            <a:p>
              <a:pPr lvl="1"/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𝒑 ̂</a:t>
              </a:r>
              <a:r>
                <a:rPr lang="en-US" sz="11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is standardized to a 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𝒛</a:t>
              </a:r>
              <a:r>
                <a:rPr lang="en-US" sz="11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-distribution. (See 8-2 Slides for details.)</a:t>
              </a:r>
              <a:endParaRPr lang="en-US" sz="1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1"/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𝒙 ̅</a:t>
              </a:r>
              <a:r>
                <a:rPr lang="en-US" sz="11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is standardized to a 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𝒕</a:t>
              </a:r>
              <a:r>
                <a:rPr lang="en-US" sz="11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-distribution. (See 8-3 Slides for details.)</a:t>
              </a:r>
              <a:endParaRPr lang="en-US" sz="1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/>
            </a:p>
          </xdr:txBody>
        </xdr:sp>
      </mc:Fallback>
    </mc:AlternateContent>
    <xdr:clientData/>
  </xdr:oneCellAnchor>
  <xdr:oneCellAnchor>
    <xdr:from>
      <xdr:col>10</xdr:col>
      <xdr:colOff>95250</xdr:colOff>
      <xdr:row>13</xdr:row>
      <xdr:rowOff>139700</xdr:rowOff>
    </xdr:from>
    <xdr:ext cx="1204689" cy="26035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D88114D-B4DE-439E-8685-4827E188CB28}"/>
            </a:ext>
          </a:extLst>
        </xdr:cNvPr>
        <xdr:cNvSpPr txBox="1"/>
      </xdr:nvSpPr>
      <xdr:spPr>
        <a:xfrm>
          <a:off x="4197350" y="2317750"/>
          <a:ext cx="1204689" cy="2603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Z=(x-</a:t>
          </a:r>
          <a:r>
            <a:rPr lang="el-G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μ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)/(</a:t>
          </a:r>
          <a:r>
            <a:rPr lang="el-G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σ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/sqrt(n))</a:t>
          </a:r>
          <a:endParaRPr lang="en-US">
            <a:effectLst/>
          </a:endParaRPr>
        </a:p>
        <a:p>
          <a:endParaRPr lang="en-US" sz="1100"/>
        </a:p>
      </xdr:txBody>
    </xdr:sp>
    <xdr:clientData/>
  </xdr:oneCellAnchor>
  <xdr:twoCellAnchor editAs="oneCell">
    <xdr:from>
      <xdr:col>12</xdr:col>
      <xdr:colOff>292380</xdr:colOff>
      <xdr:row>12</xdr:row>
      <xdr:rowOff>79875</xdr:rowOff>
    </xdr:from>
    <xdr:to>
      <xdr:col>13</xdr:col>
      <xdr:colOff>139700</xdr:colOff>
      <xdr:row>14</xdr:row>
      <xdr:rowOff>171450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A98D6EB-102A-42A1-B835-B776489C88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613680" y="2073775"/>
          <a:ext cx="456920" cy="510675"/>
        </a:xfrm>
        <a:prstGeom prst="rect">
          <a:avLst/>
        </a:prstGeom>
      </xdr:spPr>
    </xdr:pic>
    <xdr:clientData/>
  </xdr:twoCellAnchor>
  <xdr:oneCellAnchor>
    <xdr:from>
      <xdr:col>10</xdr:col>
      <xdr:colOff>76200</xdr:colOff>
      <xdr:row>12</xdr:row>
      <xdr:rowOff>120650</xdr:rowOff>
    </xdr:from>
    <xdr:ext cx="1204689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9C7CCB0-217B-40FE-B901-047521A2B376}"/>
            </a:ext>
          </a:extLst>
        </xdr:cNvPr>
        <xdr:cNvSpPr txBox="1"/>
      </xdr:nvSpPr>
      <xdr:spPr>
        <a:xfrm>
          <a:off x="4178300" y="2114550"/>
          <a:ext cx="12046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t=(x-</a:t>
          </a:r>
          <a:r>
            <a:rPr lang="el-GR" sz="1100"/>
            <a:t>μ</a:t>
          </a:r>
          <a:r>
            <a:rPr lang="en-US" sz="1100"/>
            <a:t>)/(s/sqrt(n))</a:t>
          </a:r>
        </a:p>
      </xdr:txBody>
    </xdr:sp>
    <xdr:clientData/>
  </xdr:oneCellAnchor>
  <xdr:oneCellAnchor>
    <xdr:from>
      <xdr:col>9</xdr:col>
      <xdr:colOff>25400</xdr:colOff>
      <xdr:row>20</xdr:row>
      <xdr:rowOff>38100</xdr:rowOff>
    </xdr:from>
    <xdr:ext cx="9151223" cy="3881319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D05E378-5118-4CED-A8A7-F11D229A929D}"/>
            </a:ext>
          </a:extLst>
        </xdr:cNvPr>
        <xdr:cNvSpPr txBox="1"/>
      </xdr:nvSpPr>
      <xdr:spPr>
        <a:xfrm>
          <a:off x="6261100" y="3975100"/>
          <a:ext cx="9151223" cy="38813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Given a Z value, P, and significant value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Z=1.21 P&gt;0.9  α=0.05   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null hypothesis H0​: p=0.6, H1​: p&gt;0.6 Since the 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alternative hypothesis is H1​: p&gt;0.6​, this is a right​-tailed test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(If the symbol &lt; points to the left and the test is​ left-tailed, and if The symbol ≠ is used for a​ two-tailed test).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area to the left of z=1.21 is 0.8869.Subtract this area from 1 to find the 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area to the right of the test​ statistic</a:t>
          </a:r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First identify the decision criteria to make a decision to either reject or fail to reject H0 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for the​ P-value method.If ​P-value ≤ α​, reject H0. If ​P-value &gt; α​, fail to reject H0.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Compare the​ P-value, 0.113​, to α=0.05.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The​ P-value is greater than α.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 this information to determine whether to reject or fail to reject H0. 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Then state a final conclusion that addresses the original claim.</a:t>
          </a:r>
        </a:p>
        <a:p>
          <a:r>
            <a:rPr 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If P-value&gt;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α, Fail to rejectH0, </a:t>
          </a:r>
          <a:r>
            <a:rPr 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There is not sufficient evidence to support the claim that P&gt;0.9    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If P-value &lt;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α, Reject H0, :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There is sufficient evidence to support the claim that p≠0.255.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if P-value &lt;=</a:t>
          </a:r>
          <a:r>
            <a:rPr lang="el-G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Reject H0,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There is sufficient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evidence to suppot claim....</a:t>
          </a:r>
          <a:endParaRPr lang="el-GR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Pv&lt;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,Reject H0,There is sufficient evidence to warrant rejection of the claim that the mean pulse rate​ (in beats per​ minute) of the group of adult males is 75 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bpm.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If Pv&lt;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α,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Reject H0 because the​ P-value is less than or equal to </a:t>
          </a:r>
          <a:r>
            <a:rPr lang="el-G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l-GR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>
            <a:effectLst/>
          </a:endParaRPr>
        </a:p>
        <a:p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endParaRPr lang="en-US" sz="1100"/>
        </a:p>
      </xdr:txBody>
    </xdr:sp>
    <xdr:clientData/>
  </xdr:oneCellAnchor>
  <xdr:oneCellAnchor>
    <xdr:from>
      <xdr:col>10</xdr:col>
      <xdr:colOff>38100</xdr:colOff>
      <xdr:row>14</xdr:row>
      <xdr:rowOff>177800</xdr:rowOff>
    </xdr:from>
    <xdr:ext cx="11234679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A032D939-DC96-40E0-B2B8-44C5181AAC2A}"/>
            </a:ext>
          </a:extLst>
        </xdr:cNvPr>
        <xdr:cNvSpPr txBox="1"/>
      </xdr:nvSpPr>
      <xdr:spPr>
        <a:xfrm>
          <a:off x="5327650" y="3009900"/>
          <a:ext cx="112346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=IF(B1&gt;0,IF(ISBLANK(B9),IF(B13&gt;0,1-NORM.DIST(B13,0,1,1),NORM.DIST(B13,0,1,1)),IF(B8&gt;0,1-NORM.DIST(B8,0,1,1),NORM.DIST(B8,0,1,1))),IF(B14&gt;0,1-T.DIST(B14,B10-1,1),T.DIST(B14,B10-1,1)))</a:t>
          </a:r>
        </a:p>
      </xdr:txBody>
    </xdr:sp>
    <xdr:clientData/>
  </xdr:oneCellAnchor>
  <xdr:oneCellAnchor>
    <xdr:from>
      <xdr:col>10</xdr:col>
      <xdr:colOff>25400</xdr:colOff>
      <xdr:row>16</xdr:row>
      <xdr:rowOff>177800</xdr:rowOff>
    </xdr:from>
    <xdr:ext cx="13126414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AE62CDEF-0E5C-41DB-9963-81CE5667C21F}"/>
            </a:ext>
          </a:extLst>
        </xdr:cNvPr>
        <xdr:cNvSpPr txBox="1"/>
      </xdr:nvSpPr>
      <xdr:spPr>
        <a:xfrm>
          <a:off x="7505700" y="3429000"/>
          <a:ext cx="131264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=IF(B1&gt;0,IF(ISBLANK(B9),IF(B13&gt;0,(1-NORM.DIST(B13,0,1,1))*2,(NORM.DIST(B13,0,1,1))*2),IF(B14&lt;0,(NORM.DIST(B14,0,1,1))*2,(1-NORM.DIST(B14,0,1,1))*2)),IF(B14&gt;0,(1-NORM.DIST(B14,0,1,1))*2,(NORM.DIST(B14,0,1,1))*2))</a:t>
          </a:r>
        </a:p>
      </xdr:txBody>
    </xdr:sp>
    <xdr:clientData/>
  </xdr:oneCellAnchor>
  <xdr:oneCellAnchor>
    <xdr:from>
      <xdr:col>3</xdr:col>
      <xdr:colOff>520700</xdr:colOff>
      <xdr:row>20</xdr:row>
      <xdr:rowOff>6351</xdr:rowOff>
    </xdr:from>
    <xdr:ext cx="4902199" cy="1047146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78DA5800-D3C2-4D8D-A9B6-B375CEB8F49B}"/>
            </a:ext>
          </a:extLst>
        </xdr:cNvPr>
        <xdr:cNvSpPr txBox="1"/>
      </xdr:nvSpPr>
      <xdr:spPr>
        <a:xfrm>
          <a:off x="5010150" y="3994151"/>
          <a:ext cx="4902199" cy="10471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0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If P&gt;</a:t>
          </a:r>
          <a:r>
            <a:rPr 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α, Fail to rejectH0, </a:t>
          </a:r>
          <a:r>
            <a:rPr lang="en-US" sz="10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There is not sufficient evidence to support the claim that P&gt;0.9    .</a:t>
          </a:r>
          <a:endParaRPr lang="en-US" sz="1000">
            <a:effectLst/>
          </a:endParaRPr>
        </a:p>
        <a:p>
          <a:pPr eaLnBrk="1" fontAlgn="auto" latinLnBrk="0" hangingPunct="1"/>
          <a:r>
            <a:rPr lang="en-US" sz="10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If P&lt;</a:t>
          </a:r>
          <a:r>
            <a:rPr lang="en-US" sz="10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α, Reject H0, :</a:t>
          </a:r>
          <a:r>
            <a:rPr lang="en-US" sz="10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There is sufficient evidence to support the claim that p≠0.255.</a:t>
          </a:r>
          <a:endParaRPr lang="en-US" sz="1000">
            <a:effectLst/>
          </a:endParaRPr>
        </a:p>
        <a:p>
          <a:r>
            <a:rPr lang="en-US" sz="10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if P&lt;=</a:t>
          </a:r>
          <a:r>
            <a:rPr lang="el-GR" sz="10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en-US" sz="10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sz="10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0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Reject H0,</a:t>
          </a:r>
          <a:r>
            <a:rPr lang="en-US" sz="10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0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There is sufficient</a:t>
          </a:r>
          <a:r>
            <a:rPr lang="en-US" sz="10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evidence to suppot claim....</a:t>
          </a:r>
          <a:endParaRPr lang="en-US" sz="1000">
            <a:effectLst/>
          </a:endParaRPr>
        </a:p>
        <a:p>
          <a:r>
            <a:rPr lang="en-US" sz="10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If P&lt;</a:t>
          </a:r>
          <a:r>
            <a:rPr 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en-US" sz="10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,Reject H0,There is sufficient evidence to warrant rejection of the claim that</a:t>
          </a:r>
        </a:p>
        <a:p>
          <a:r>
            <a:rPr lang="en-US" sz="10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mean pulse rate​ (in beats per​ minute) of the group of adult males is 75 bpm.</a:t>
          </a:r>
          <a:endParaRPr lang="en-US" sz="1000">
            <a:effectLst/>
          </a:endParaRPr>
        </a:p>
        <a:p>
          <a:endParaRPr lang="en-US" sz="1100"/>
        </a:p>
      </xdr:txBody>
    </xdr:sp>
    <xdr:clientData/>
  </xdr:oneCellAnchor>
  <xdr:oneCellAnchor>
    <xdr:from>
      <xdr:col>0</xdr:col>
      <xdr:colOff>0</xdr:colOff>
      <xdr:row>19</xdr:row>
      <xdr:rowOff>177800</xdr:rowOff>
    </xdr:from>
    <xdr:ext cx="2809615" cy="436786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B3B96F2-E1BA-4B57-B903-B2CBDAE8D835}"/>
            </a:ext>
          </a:extLst>
        </xdr:cNvPr>
        <xdr:cNvSpPr txBox="1"/>
      </xdr:nvSpPr>
      <xdr:spPr>
        <a:xfrm>
          <a:off x="0" y="3981450"/>
          <a:ext cx="2809615" cy="436786"/>
        </a:xfrm>
        <a:prstGeom prst="rect">
          <a:avLst/>
        </a:prstGeom>
        <a:noFill/>
        <a:ln w="38100">
          <a:solidFill>
            <a:schemeClr val="accent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Type</a:t>
          </a:r>
          <a:r>
            <a:rPr lang="en-US" sz="1100" baseline="0"/>
            <a:t> I error, reject even though its true</a:t>
          </a:r>
        </a:p>
        <a:p>
          <a:r>
            <a:rPr lang="en-US" sz="1100" baseline="0"/>
            <a:t>Type II error fail to reject even though its false</a:t>
          </a:r>
          <a:endParaRPr lang="en-US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635000</xdr:colOff>
      <xdr:row>36</xdr:row>
      <xdr:rowOff>146050</xdr:rowOff>
    </xdr:from>
    <xdr:ext cx="9539343" cy="52591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827141B-608F-4DBA-A5E3-3EAF2023B97D}"/>
                </a:ext>
              </a:extLst>
            </xdr:cNvPr>
            <xdr:cNvSpPr txBox="1"/>
          </xdr:nvSpPr>
          <xdr:spPr>
            <a:xfrm>
              <a:off x="14871700" y="7137400"/>
              <a:ext cx="9539343" cy="52591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If P-value&gt;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α, Fail to rejectH0, 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There is not sufficient evidence to support the claim that P&gt;0.9    .</a:t>
              </a:r>
              <a:endParaRPr lang="en-US">
                <a:effectLst/>
              </a:endParaRPr>
            </a:p>
            <a:p>
              <a:pPr eaLnBrk="1" fontAlgn="auto" latinLnBrk="0" hangingPunct="1"/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If P-value &lt;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α, Reject H0, :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There is sufficient evidence to support the claim that p≠0.255.</a:t>
              </a:r>
              <a:endParaRPr lang="en-US">
                <a:effectLst/>
              </a:endParaRPr>
            </a:p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if P-value &lt;=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α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Reject H0,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 There is sufficient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evidence to suppot claim....</a:t>
              </a:r>
              <a:endParaRPr lang="en-US">
                <a:effectLst/>
              </a:endParaRPr>
            </a:p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Pv&lt;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α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,Reject H0,There is sufficient evidence to warrant rejection of the claim that the mean pulse rate​ (in beats per​ minute) of the group of adult males is 75 </a:t>
              </a:r>
              <a:endParaRPr lang="en-US">
                <a:effectLst/>
              </a:endParaRPr>
            </a:p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bpm.</a:t>
              </a:r>
            </a:p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Fail to reject the null hypothesis because the​ P-value is greater than the significance​ level, 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α.</a:t>
              </a:r>
              <a:endParaRPr lang="en-US">
                <a:effectLst/>
              </a:endParaRPr>
            </a:p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&amp;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is not</a:t>
              </a:r>
              <a:r>
                <a:rPr lang="en-US" sz="1100" b="1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sufficient evidence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to 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support the claim ...</a:t>
              </a:r>
              <a:endParaRPr lang="en-US">
                <a:effectLst/>
              </a:endParaRPr>
            </a:p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Because the​ 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P-value is greater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than the significance​ level, 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fail to reject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the 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null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hypothesis. </a:t>
              </a:r>
              <a:endParaRPr lang="en-US">
                <a:effectLst/>
              </a:endParaRPr>
            </a:p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There 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is insufficient evidence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to 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support the claim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that the return rate is less than​ 20%.</a:t>
              </a:r>
              <a:endParaRPr lang="en-US">
                <a:effectLst/>
              </a:endParaRPr>
            </a:p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P&gt;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α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Fail to RejectH0. There is sufficient evidence to conclude that the original claim that the mean of the population of student course evaluations is equal to 3.50 </a:t>
              </a:r>
              <a:endParaRPr lang="en-US">
                <a:effectLst/>
              </a:endParaRPr>
            </a:p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is not correct.</a:t>
              </a:r>
              <a:endParaRPr lang="en-US">
                <a:effectLst/>
              </a:endParaRPr>
            </a:p>
            <a:p>
              <a:endParaRPr lang="en-US">
                <a:effectLst/>
              </a:endParaRPr>
            </a:p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***If most of something .....P=0.5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and this is a right hand test for H1&gt;0.5</a:t>
              </a:r>
            </a:p>
            <a:p>
              <a:r>
                <a:rPr lang="en-US" sz="11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***if less than something...P=0.5 and this is a left hand test for H1&lt;0.5</a:t>
              </a:r>
              <a:endParaRPr lang="en-US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If Pv&lt;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α,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Reject H0 because the​ P-value is less than or equal to 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α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rtl="0" eaLnBrk="1" latinLnBrk="0" hangingPunct="1"/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Requirements:</a:t>
              </a:r>
              <a:endParaRPr lang="en-US">
                <a:effectLst/>
              </a:endParaRPr>
            </a:p>
            <a:p>
              <a:pPr rtl="0" eaLnBrk="1" latinLnBrk="0" hangingPunct="1"/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The statistic meets criteria for a binomial distribution.</a:t>
              </a:r>
              <a:endParaRPr lang="en-US">
                <a:effectLst/>
              </a:endParaRPr>
            </a:p>
            <a:p>
              <a:pPr rtl="0" eaLnBrk="1" latinLnBrk="0" hangingPunct="1"/>
              <a14:m>
                <m:oMath xmlns:m="http://schemas.openxmlformats.org/officeDocument/2006/math"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𝑛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∙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𝑝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≥5</m:t>
                  </m:r>
                </m:oMath>
              </a14:m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and </a:t>
              </a:r>
              <a14:m>
                <m:oMath xmlns:m="http://schemas.openxmlformats.org/officeDocument/2006/math"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𝑛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∙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𝑞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≥5</m:t>
                  </m:r>
                </m:oMath>
              </a14:m>
              <a:endParaRPr lang="en-US">
                <a:effectLst/>
              </a:endParaRPr>
            </a:p>
            <a:p>
              <a:pPr rtl="0" eaLnBrk="1" latinLnBrk="0" hangingPunct="1"/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If </a:t>
              </a:r>
              <a14:m>
                <m:oMath xmlns:m="http://schemas.openxmlformats.org/officeDocument/2006/math"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𝑃</m:t>
                  </m:r>
                  <m:r>
                    <a:rPr lang="en-US" sz="11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−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𝑣𝑎𝑙𝑢𝑒</m:t>
                  </m:r>
                  <m:r>
                    <a:rPr lang="en-US" sz="11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≤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𝛼</m:t>
                  </m:r>
                </m:oMath>
              </a14:m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decision is “Reject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𝐻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0</m:t>
                      </m:r>
                    </m:sub>
                  </m:sSub>
                </m:oMath>
              </a14:m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”</a:t>
              </a:r>
              <a:endParaRPr lang="en-US">
                <a:effectLst/>
              </a:endParaRPr>
            </a:p>
            <a:p>
              <a:pPr rtl="0" eaLnBrk="1" latinLnBrk="0" hangingPunct="1"/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If </a:t>
              </a:r>
              <a14:m>
                <m:oMath xmlns:m="http://schemas.openxmlformats.org/officeDocument/2006/math"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𝑃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−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𝑣𝑎𝑙𝑢𝑒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&gt;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𝛼</m:t>
                  </m:r>
                </m:oMath>
              </a14:m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decision is “Fail to reject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𝐻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0</m:t>
                      </m:r>
                    </m:sub>
                  </m:sSub>
                </m:oMath>
              </a14:m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”</a:t>
              </a:r>
              <a:endParaRPr lang="en-US">
                <a:effectLst/>
              </a:endParaRPr>
            </a:p>
            <a:p>
              <a:pPr marL="0" marR="0" lvl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PValue:</a:t>
              </a:r>
            </a:p>
            <a:p>
              <a:pPr marL="0" marR="0" lvl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To determine the direction of a hypothesis test, look at the </a:t>
              </a:r>
              <a:r>
                <a:rPr lang="en-US" sz="11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alternative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hypothesis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.</a:t>
              </a:r>
            </a:p>
            <a:p>
              <a:pPr marL="0" marR="0" lvl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For a two-tailed test, find the area to the </a:t>
              </a:r>
              <a:r>
                <a:rPr lang="en-US" sz="11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left of a negative test statistic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</a:p>
            <a:p>
              <a:pPr marL="0" marR="0" lvl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or to the </a:t>
              </a:r>
              <a:r>
                <a:rPr lang="en-US" sz="11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right of a positive test statistic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and </a:t>
              </a:r>
              <a:r>
                <a:rPr lang="en-US" sz="11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double 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the area you calculate.</a:t>
              </a:r>
            </a:p>
            <a:p>
              <a:pPr marL="0" marR="0" lvl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1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Interpretations must include:</a:t>
              </a:r>
              <a:endParaRPr lang="en-US">
                <a:effectLst/>
              </a:endParaRPr>
            </a:p>
            <a:p>
              <a:r>
                <a:rPr lang="en-US" sz="11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The level of significance.</a:t>
              </a:r>
              <a:endParaRPr lang="en-US">
                <a:effectLst/>
              </a:endParaRPr>
            </a:p>
            <a:p>
              <a:r>
                <a:rPr lang="en-US" sz="11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The decision in terms of the original claim, based on data or “evidence.”</a:t>
              </a:r>
              <a:endParaRPr lang="en-US">
                <a:effectLst/>
              </a:endParaRPr>
            </a:p>
            <a:p>
              <a:pPr marL="0" marR="0" lvl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827141B-608F-4DBA-A5E3-3EAF2023B97D}"/>
                </a:ext>
              </a:extLst>
            </xdr:cNvPr>
            <xdr:cNvSpPr txBox="1"/>
          </xdr:nvSpPr>
          <xdr:spPr>
            <a:xfrm>
              <a:off x="14871700" y="7137400"/>
              <a:ext cx="9539343" cy="52591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If P-value&gt;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α, Fail to rejectH0, 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There is not sufficient evidence to support the claim that P&gt;0.9    .</a:t>
              </a:r>
              <a:endParaRPr lang="en-US">
                <a:effectLst/>
              </a:endParaRPr>
            </a:p>
            <a:p>
              <a:pPr eaLnBrk="1" fontAlgn="auto" latinLnBrk="0" hangingPunct="1"/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If P-value &lt;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α, Reject H0, :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There is sufficient evidence to support the claim that p≠0.255.</a:t>
              </a:r>
              <a:endParaRPr lang="en-US">
                <a:effectLst/>
              </a:endParaRPr>
            </a:p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if P-value &lt;=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α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Reject H0,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 There is sufficient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evidence to suppot claim....</a:t>
              </a:r>
              <a:endParaRPr lang="en-US">
                <a:effectLst/>
              </a:endParaRPr>
            </a:p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Pv&lt;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α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,Reject H0,There is sufficient evidence to warrant rejection of the claim that the mean pulse rate​ (in beats per​ minute) of the group of adult males is 75 </a:t>
              </a:r>
              <a:endParaRPr lang="en-US">
                <a:effectLst/>
              </a:endParaRPr>
            </a:p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bpm.</a:t>
              </a:r>
            </a:p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Fail to reject the null hypothesis because the​ P-value is greater than the significance​ level, 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α.</a:t>
              </a:r>
              <a:endParaRPr lang="en-US">
                <a:effectLst/>
              </a:endParaRPr>
            </a:p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&amp;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is not</a:t>
              </a:r>
              <a:r>
                <a:rPr lang="en-US" sz="1100" b="1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sufficient evidence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to 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support the claim ...</a:t>
              </a:r>
              <a:endParaRPr lang="en-US">
                <a:effectLst/>
              </a:endParaRPr>
            </a:p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Because the​ 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P-value is greater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than the significance​ level, 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fail to reject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the 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null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hypothesis. </a:t>
              </a:r>
              <a:endParaRPr lang="en-US">
                <a:effectLst/>
              </a:endParaRPr>
            </a:p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There 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is insufficient evidence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to 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support the claim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that the return rate is less than​ 20%.</a:t>
              </a:r>
              <a:endParaRPr lang="en-US">
                <a:effectLst/>
              </a:endParaRPr>
            </a:p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P&gt;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α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Fail to RejectH0. There is sufficient evidence to conclude that the original claim that the mean of the population of student course evaluations is equal to 3.50 </a:t>
              </a:r>
              <a:endParaRPr lang="en-US">
                <a:effectLst/>
              </a:endParaRPr>
            </a:p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is not correct.</a:t>
              </a:r>
              <a:endParaRPr lang="en-US">
                <a:effectLst/>
              </a:endParaRPr>
            </a:p>
            <a:p>
              <a:endParaRPr lang="en-US">
                <a:effectLst/>
              </a:endParaRPr>
            </a:p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***If most of something .....P=0.5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and this is a right hand test for H1&gt;0.5</a:t>
              </a:r>
            </a:p>
            <a:p>
              <a:r>
                <a:rPr lang="en-US" sz="11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***if less than something...P=0.5 and this is a left hand test for H1&lt;0.5</a:t>
              </a:r>
              <a:endParaRPr lang="en-US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If Pv&lt;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α,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Reject H0 because the​ P-value is less than or equal to 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α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rtl="0" eaLnBrk="1" latinLnBrk="0" hangingPunct="1"/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Requirements:</a:t>
              </a:r>
              <a:endParaRPr lang="en-US">
                <a:effectLst/>
              </a:endParaRPr>
            </a:p>
            <a:p>
              <a:pPr rtl="0" eaLnBrk="1" latinLnBrk="0" hangingPunct="1"/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The statistic meets criteria for a binomial distribution.</a:t>
              </a:r>
              <a:endParaRPr lang="en-US">
                <a:effectLst/>
              </a:endParaRPr>
            </a:p>
            <a:p>
              <a:pPr rtl="0" eaLnBrk="1" latinLnBrk="0" hangingPunct="1"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𝑛∙𝑝≥5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and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𝑛∙𝑞≥5</a:t>
              </a:r>
              <a:endParaRPr lang="en-US">
                <a:effectLst/>
              </a:endParaRPr>
            </a:p>
            <a:p>
              <a:pPr rtl="0" eaLnBrk="1" latinLnBrk="0" hangingPunct="1"/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If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𝑃−𝑣𝑎𝑙𝑢𝑒≤𝛼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decision is “Reject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𝐻_0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”</a:t>
              </a:r>
              <a:endParaRPr lang="en-US">
                <a:effectLst/>
              </a:endParaRPr>
            </a:p>
            <a:p>
              <a:pPr rtl="0" eaLnBrk="1" latinLnBrk="0" hangingPunct="1"/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If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𝑃−𝑣𝑎𝑙𝑢𝑒&gt;𝛼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decision is “Fail to reject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𝐻_0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”</a:t>
              </a:r>
              <a:endParaRPr lang="en-US">
                <a:effectLst/>
              </a:endParaRPr>
            </a:p>
            <a:p>
              <a:pPr marL="0" marR="0" lvl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PValue:</a:t>
              </a:r>
            </a:p>
            <a:p>
              <a:pPr marL="0" marR="0" lvl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To determine the direction of a hypothesis test, look at the </a:t>
              </a:r>
              <a:r>
                <a:rPr lang="en-US" sz="11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alternative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hypothesis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.</a:t>
              </a:r>
            </a:p>
            <a:p>
              <a:pPr marL="0" marR="0" lvl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For a two-tailed test, find the area to the </a:t>
              </a:r>
              <a:r>
                <a:rPr lang="en-US" sz="11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left of a negative test statistic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</a:p>
            <a:p>
              <a:pPr marL="0" marR="0" lvl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or to the </a:t>
              </a:r>
              <a:r>
                <a:rPr lang="en-US" sz="11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right of a positive test statistic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and </a:t>
              </a:r>
              <a:r>
                <a:rPr lang="en-US" sz="11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double 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the area you calculate.</a:t>
              </a:r>
            </a:p>
            <a:p>
              <a:pPr marL="0" marR="0" lvl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1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Interpretations must include:</a:t>
              </a:r>
              <a:endParaRPr lang="en-US">
                <a:effectLst/>
              </a:endParaRPr>
            </a:p>
            <a:p>
              <a:r>
                <a:rPr lang="en-US" sz="11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The level of significance.</a:t>
              </a:r>
              <a:endParaRPr lang="en-US">
                <a:effectLst/>
              </a:endParaRPr>
            </a:p>
            <a:p>
              <a:r>
                <a:rPr lang="en-US" sz="11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The decision in terms of the original claim, based on data or “evidence.”</a:t>
              </a:r>
              <a:endParaRPr lang="en-US">
                <a:effectLst/>
              </a:endParaRPr>
            </a:p>
            <a:p>
              <a:pPr marL="0" marR="0" lvl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endParaRPr lang="en-US" sz="1100"/>
            </a:p>
          </xdr:txBody>
        </xdr:sp>
      </mc:Fallback>
    </mc:AlternateContent>
    <xdr:clientData/>
  </xdr:oneCellAnchor>
  <xdr:twoCellAnchor editAs="oneCell">
    <xdr:from>
      <xdr:col>7</xdr:col>
      <xdr:colOff>209550</xdr:colOff>
      <xdr:row>33</xdr:row>
      <xdr:rowOff>0</xdr:rowOff>
    </xdr:from>
    <xdr:to>
      <xdr:col>8</xdr:col>
      <xdr:colOff>603527</xdr:colOff>
      <xdr:row>37</xdr:row>
      <xdr:rowOff>43113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7DD48B-82F6-4EC7-8C0E-743BF19465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85250" y="6438900"/>
          <a:ext cx="1689377" cy="779713"/>
        </a:xfrm>
        <a:prstGeom prst="rect">
          <a:avLst/>
        </a:prstGeom>
      </xdr:spPr>
    </xdr:pic>
    <xdr:clientData/>
  </xdr:twoCellAnchor>
  <xdr:twoCellAnchor editAs="oneCell">
    <xdr:from>
      <xdr:col>7</xdr:col>
      <xdr:colOff>57150</xdr:colOff>
      <xdr:row>24</xdr:row>
      <xdr:rowOff>127000</xdr:rowOff>
    </xdr:from>
    <xdr:to>
      <xdr:col>8</xdr:col>
      <xdr:colOff>535530</xdr:colOff>
      <xdr:row>28</xdr:row>
      <xdr:rowOff>120780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45AB8B5-BA0D-4187-958B-1134F68EAB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32850" y="4908550"/>
          <a:ext cx="1773780" cy="730380"/>
        </a:xfrm>
        <a:prstGeom prst="rect">
          <a:avLst/>
        </a:prstGeom>
      </xdr:spPr>
    </xdr:pic>
    <xdr:clientData/>
  </xdr:twoCellAnchor>
  <xdr:twoCellAnchor editAs="oneCell">
    <xdr:from>
      <xdr:col>7</xdr:col>
      <xdr:colOff>177800</xdr:colOff>
      <xdr:row>28</xdr:row>
      <xdr:rowOff>69850</xdr:rowOff>
    </xdr:from>
    <xdr:to>
      <xdr:col>8</xdr:col>
      <xdr:colOff>470182</xdr:colOff>
      <xdr:row>32</xdr:row>
      <xdr:rowOff>127141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A870364-1E89-4617-A824-1122A8FFBC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53500" y="5588000"/>
          <a:ext cx="1587782" cy="793891"/>
        </a:xfrm>
        <a:prstGeom prst="rect">
          <a:avLst/>
        </a:prstGeom>
      </xdr:spPr>
    </xdr:pic>
    <xdr:clientData/>
  </xdr:twoCellAnchor>
  <xdr:oneCellAnchor>
    <xdr:from>
      <xdr:col>24</xdr:col>
      <xdr:colOff>431800</xdr:colOff>
      <xdr:row>27</xdr:row>
      <xdr:rowOff>127000</xdr:rowOff>
    </xdr:from>
    <xdr:ext cx="5901872" cy="147014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CF7D8240-7C9A-457E-B011-6D57A6850A20}"/>
                </a:ext>
              </a:extLst>
            </xdr:cNvPr>
            <xdr:cNvSpPr txBox="1"/>
          </xdr:nvSpPr>
          <xdr:spPr>
            <a:xfrm>
              <a:off x="25196800" y="5461000"/>
              <a:ext cx="5901872" cy="14701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 lvl="0"/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The test statistic for a hypothesis test is the number (statistic) calculated from the sample data that </a:t>
              </a:r>
            </a:p>
            <a:p>
              <a:pPr lvl="0"/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corresponds to the parameter we are testing.</a:t>
              </a:r>
            </a:p>
            <a:p>
              <a:pPr lvl="1"/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𝑝</m:t>
                      </m:r>
                    </m:e>
                  </m:acc>
                </m:oMath>
              </a14:m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corresponds to </a:t>
              </a:r>
              <a14:m>
                <m:oMath xmlns:m="http://schemas.openxmlformats.org/officeDocument/2006/math">
                  <m:r>
                    <a:rPr lang="en-US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𝑝</m:t>
                  </m:r>
                </m:oMath>
              </a14:m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1"/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e>
                  </m:acc>
                </m:oMath>
              </a14:m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corresponds to </a:t>
              </a:r>
              <a14:m>
                <m:oMath xmlns:m="http://schemas.openxmlformats.org/officeDocument/2006/math">
                  <m:r>
                    <a:rPr lang="en-US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𝜇</m:t>
                  </m:r>
                </m:oMath>
              </a14:m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We standardize the test statistic to a well-known distribution.</a:t>
              </a:r>
            </a:p>
            <a:p>
              <a:pPr lvl="1"/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en-US" sz="1100" b="1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en-US" sz="1100" b="1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𝒑</m:t>
                      </m:r>
                    </m:e>
                  </m:acc>
                </m:oMath>
              </a14:m>
              <a:r>
                <a:rPr lang="en-US" sz="11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is standardized to a </a:t>
              </a:r>
              <a14:m>
                <m:oMath xmlns:m="http://schemas.openxmlformats.org/officeDocument/2006/math">
                  <m:r>
                    <a:rPr lang="en-US" sz="1100" b="1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𝒛</m:t>
                  </m:r>
                </m:oMath>
              </a14:m>
              <a:r>
                <a:rPr lang="en-US" sz="11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-distribution. (See 8-2 Slides for details.)</a:t>
              </a:r>
              <a:endParaRPr lang="en-US" sz="1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1"/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en-US" sz="1100" b="1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en-US" sz="1100" b="1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𝒙</m:t>
                      </m:r>
                    </m:e>
                  </m:acc>
                </m:oMath>
              </a14:m>
              <a:r>
                <a:rPr lang="en-US" sz="11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is standardized to a </a:t>
              </a:r>
              <a14:m>
                <m:oMath xmlns:m="http://schemas.openxmlformats.org/officeDocument/2006/math">
                  <m:r>
                    <a:rPr lang="en-US" sz="1100" b="1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𝒕</m:t>
                  </m:r>
                </m:oMath>
              </a14:m>
              <a:r>
                <a:rPr lang="en-US" sz="11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-distribution. (See 8-3 Slides for details.)</a:t>
              </a:r>
              <a:endParaRPr lang="en-US" sz="1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CF7D8240-7C9A-457E-B011-6D57A6850A20}"/>
                </a:ext>
              </a:extLst>
            </xdr:cNvPr>
            <xdr:cNvSpPr txBox="1"/>
          </xdr:nvSpPr>
          <xdr:spPr>
            <a:xfrm>
              <a:off x="25196800" y="5461000"/>
              <a:ext cx="5901872" cy="14701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 lvl="0"/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The test statistic for a hypothesis test is the number (statistic) calculated from the sample data that </a:t>
              </a:r>
            </a:p>
            <a:p>
              <a:pPr lvl="0"/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corresponds to the parameter we are testing.</a:t>
              </a:r>
            </a:p>
            <a:p>
              <a:pPr lvl="1"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𝑝 ̂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corresponds to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𝑝</a:t>
              </a: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1"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 ̅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corresponds to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𝜇</a:t>
              </a: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We standardize the test statistic to a well-known distribution.</a:t>
              </a:r>
            </a:p>
            <a:p>
              <a:pPr lvl="1"/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𝒑 ̂</a:t>
              </a:r>
              <a:r>
                <a:rPr lang="en-US" sz="11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is standardized to a 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𝒛</a:t>
              </a:r>
              <a:r>
                <a:rPr lang="en-US" sz="11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-distribution. (See 8-2 Slides for details.)</a:t>
              </a:r>
              <a:endParaRPr lang="en-US" sz="1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1"/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𝒙 ̅</a:t>
              </a:r>
              <a:r>
                <a:rPr lang="en-US" sz="11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is standardized to a 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𝒕</a:t>
              </a:r>
              <a:r>
                <a:rPr lang="en-US" sz="11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-distribution. (See 8-3 Slides for details.)</a:t>
              </a:r>
              <a:endParaRPr lang="en-US" sz="1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/>
            </a:p>
          </xdr:txBody>
        </xdr:sp>
      </mc:Fallback>
    </mc:AlternateContent>
    <xdr:clientData/>
  </xdr:oneCellAnchor>
  <xdr:oneCellAnchor>
    <xdr:from>
      <xdr:col>13</xdr:col>
      <xdr:colOff>95250</xdr:colOff>
      <xdr:row>13</xdr:row>
      <xdr:rowOff>139700</xdr:rowOff>
    </xdr:from>
    <xdr:ext cx="1204689" cy="26035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AF35A0D-48FD-4A90-801A-1006D95E2F04}"/>
            </a:ext>
          </a:extLst>
        </xdr:cNvPr>
        <xdr:cNvSpPr txBox="1"/>
      </xdr:nvSpPr>
      <xdr:spPr>
        <a:xfrm>
          <a:off x="15970250" y="2787650"/>
          <a:ext cx="1204689" cy="2603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Z=(x-</a:t>
          </a:r>
          <a:r>
            <a:rPr lang="el-G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μ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)/(</a:t>
          </a:r>
          <a:r>
            <a:rPr lang="el-G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σ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/sqrt(n))</a:t>
          </a:r>
          <a:endParaRPr lang="en-US">
            <a:effectLst/>
          </a:endParaRPr>
        </a:p>
        <a:p>
          <a:endParaRPr lang="en-US" sz="1100"/>
        </a:p>
      </xdr:txBody>
    </xdr:sp>
    <xdr:clientData/>
  </xdr:oneCellAnchor>
  <xdr:twoCellAnchor editAs="oneCell">
    <xdr:from>
      <xdr:col>15</xdr:col>
      <xdr:colOff>292380</xdr:colOff>
      <xdr:row>12</xdr:row>
      <xdr:rowOff>79875</xdr:rowOff>
    </xdr:from>
    <xdr:to>
      <xdr:col>16</xdr:col>
      <xdr:colOff>139700</xdr:colOff>
      <xdr:row>14</xdr:row>
      <xdr:rowOff>171450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8A2524E-9B74-4B54-9C57-99839A8F38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386580" y="2518275"/>
          <a:ext cx="456920" cy="510675"/>
        </a:xfrm>
        <a:prstGeom prst="rect">
          <a:avLst/>
        </a:prstGeom>
      </xdr:spPr>
    </xdr:pic>
    <xdr:clientData/>
  </xdr:twoCellAnchor>
  <xdr:oneCellAnchor>
    <xdr:from>
      <xdr:col>13</xdr:col>
      <xdr:colOff>76200</xdr:colOff>
      <xdr:row>12</xdr:row>
      <xdr:rowOff>120650</xdr:rowOff>
    </xdr:from>
    <xdr:ext cx="1204689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27FAB309-1F81-4EAE-9584-E7D1A965FD17}"/>
            </a:ext>
          </a:extLst>
        </xdr:cNvPr>
        <xdr:cNvSpPr txBox="1"/>
      </xdr:nvSpPr>
      <xdr:spPr>
        <a:xfrm>
          <a:off x="15951200" y="2559050"/>
          <a:ext cx="12046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t=(x-</a:t>
          </a:r>
          <a:r>
            <a:rPr lang="el-GR" sz="1100"/>
            <a:t>μ</a:t>
          </a:r>
          <a:r>
            <a:rPr lang="en-US" sz="1100"/>
            <a:t>)/(s/sqrt(n))</a:t>
          </a:r>
        </a:p>
      </xdr:txBody>
    </xdr:sp>
    <xdr:clientData/>
  </xdr:oneCellAnchor>
  <xdr:oneCellAnchor>
    <xdr:from>
      <xdr:col>13</xdr:col>
      <xdr:colOff>38100</xdr:colOff>
      <xdr:row>14</xdr:row>
      <xdr:rowOff>177800</xdr:rowOff>
    </xdr:from>
    <xdr:ext cx="11234679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BD7744A5-84F3-4F9A-8D54-2A33DEB347D3}"/>
            </a:ext>
          </a:extLst>
        </xdr:cNvPr>
        <xdr:cNvSpPr txBox="1"/>
      </xdr:nvSpPr>
      <xdr:spPr>
        <a:xfrm>
          <a:off x="15913100" y="3035300"/>
          <a:ext cx="112346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=IF(B1&gt;0,IF(ISBLANK(B9),IF(B13&gt;0,1-NORM.DIST(B13,0,1,1),NORM.DIST(B13,0,1,1)),IF(B8&gt;0,1-NORM.DIST(B8,0,1,1),NORM.DIST(B8,0,1,1))),IF(B14&gt;0,1-T.DIST(B14,B10-1,1),T.DIST(B14,B10-1,1)))</a:t>
          </a:r>
        </a:p>
      </xdr:txBody>
    </xdr:sp>
    <xdr:clientData/>
  </xdr:oneCellAnchor>
  <xdr:oneCellAnchor>
    <xdr:from>
      <xdr:col>13</xdr:col>
      <xdr:colOff>25400</xdr:colOff>
      <xdr:row>16</xdr:row>
      <xdr:rowOff>177800</xdr:rowOff>
    </xdr:from>
    <xdr:ext cx="13126414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BADE535B-D0FC-480F-BF22-EC9D0DF88B65}"/>
            </a:ext>
          </a:extLst>
        </xdr:cNvPr>
        <xdr:cNvSpPr txBox="1"/>
      </xdr:nvSpPr>
      <xdr:spPr>
        <a:xfrm>
          <a:off x="15900400" y="3429000"/>
          <a:ext cx="131264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=IF(B1&gt;0,IF(ISBLANK(B9),IF(B13&gt;0,(1-NORM.DIST(B13,0,1,1))*2,(NORM.DIST(B13,0,1,1))*2),IF(B14&lt;0,(NORM.DIST(B14,0,1,1))*2,(1-NORM.DIST(B14,0,1,1))*2)),IF(B14&gt;0,(1-NORM.DIST(B14,0,1,1))*2,(NORM.DIST(B14,0,1,1))*2))</a:t>
          </a:r>
        </a:p>
      </xdr:txBody>
    </xdr:sp>
    <xdr:clientData/>
  </xdr:oneCellAnchor>
  <xdr:oneCellAnchor>
    <xdr:from>
      <xdr:col>24</xdr:col>
      <xdr:colOff>438150</xdr:colOff>
      <xdr:row>23</xdr:row>
      <xdr:rowOff>107951</xdr:rowOff>
    </xdr:from>
    <xdr:ext cx="4902199" cy="1047146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5C061AD1-C98C-4AE9-B983-F02011F106A9}"/>
            </a:ext>
          </a:extLst>
        </xdr:cNvPr>
        <xdr:cNvSpPr txBox="1"/>
      </xdr:nvSpPr>
      <xdr:spPr>
        <a:xfrm>
          <a:off x="25203150" y="4705351"/>
          <a:ext cx="4902199" cy="10471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0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If P&gt;</a:t>
          </a:r>
          <a:r>
            <a:rPr 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α, Fail to rejectH0, </a:t>
          </a:r>
          <a:r>
            <a:rPr lang="en-US" sz="10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There is not sufficient evidence to support the claim that P&gt;0.9    .</a:t>
          </a:r>
          <a:endParaRPr lang="en-US" sz="1000">
            <a:effectLst/>
          </a:endParaRPr>
        </a:p>
        <a:p>
          <a:pPr eaLnBrk="1" fontAlgn="auto" latinLnBrk="0" hangingPunct="1"/>
          <a:r>
            <a:rPr lang="en-US" sz="10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If P&lt;</a:t>
          </a:r>
          <a:r>
            <a:rPr lang="en-US" sz="10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α, Reject H0, :</a:t>
          </a:r>
          <a:r>
            <a:rPr lang="en-US" sz="10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There is sufficient evidence to support the claim that p≠0.255.</a:t>
          </a:r>
          <a:endParaRPr lang="en-US" sz="1000">
            <a:effectLst/>
          </a:endParaRPr>
        </a:p>
        <a:p>
          <a:r>
            <a:rPr lang="en-US" sz="10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if P&lt;=</a:t>
          </a:r>
          <a:r>
            <a:rPr lang="el-GR" sz="10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en-US" sz="10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sz="10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0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Reject H0,</a:t>
          </a:r>
          <a:r>
            <a:rPr lang="en-US" sz="10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0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There is sufficient</a:t>
          </a:r>
          <a:r>
            <a:rPr lang="en-US" sz="10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evidence to suppot claim....</a:t>
          </a:r>
          <a:endParaRPr lang="en-US" sz="1000">
            <a:effectLst/>
          </a:endParaRPr>
        </a:p>
        <a:p>
          <a:r>
            <a:rPr lang="en-US" sz="10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If P&lt;</a:t>
          </a:r>
          <a:r>
            <a:rPr 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en-US" sz="10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,Reject H0,There is sufficient evidence to warrant rejection of the claim that</a:t>
          </a:r>
        </a:p>
        <a:p>
          <a:r>
            <a:rPr lang="en-US" sz="10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mean pulse rate​ (in beats per​ minute) of the group of adult males is 75 bpm.</a:t>
          </a:r>
          <a:endParaRPr lang="en-US" sz="1000">
            <a:effectLst/>
          </a:endParaRPr>
        </a:p>
        <a:p>
          <a:endParaRPr lang="en-US" sz="1100"/>
        </a:p>
      </xdr:txBody>
    </xdr:sp>
    <xdr:clientData/>
  </xdr:oneCellAnchor>
  <xdr:oneCellAnchor>
    <xdr:from>
      <xdr:col>0</xdr:col>
      <xdr:colOff>0</xdr:colOff>
      <xdr:row>19</xdr:row>
      <xdr:rowOff>177800</xdr:rowOff>
    </xdr:from>
    <xdr:ext cx="2809615" cy="436786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82D5723D-93EC-43C4-ABF9-BC31EBC4618D}"/>
            </a:ext>
          </a:extLst>
        </xdr:cNvPr>
        <xdr:cNvSpPr txBox="1"/>
      </xdr:nvSpPr>
      <xdr:spPr>
        <a:xfrm>
          <a:off x="0" y="4032250"/>
          <a:ext cx="2809615" cy="436786"/>
        </a:xfrm>
        <a:prstGeom prst="rect">
          <a:avLst/>
        </a:prstGeom>
        <a:noFill/>
        <a:ln w="38100">
          <a:solidFill>
            <a:schemeClr val="accent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Type</a:t>
          </a:r>
          <a:r>
            <a:rPr lang="en-US" sz="1100" baseline="0"/>
            <a:t> I error, reject even though its true</a:t>
          </a:r>
        </a:p>
        <a:p>
          <a:r>
            <a:rPr lang="en-US" sz="1100" baseline="0"/>
            <a:t>Type II error fail to reject even though its false</a:t>
          </a:r>
          <a:endParaRPr lang="en-US" sz="1100"/>
        </a:p>
      </xdr:txBody>
    </xdr:sp>
    <xdr:clientData/>
  </xdr:oneCellAnchor>
  <xdr:oneCellAnchor>
    <xdr:from>
      <xdr:col>11</xdr:col>
      <xdr:colOff>908050</xdr:colOff>
      <xdr:row>8</xdr:row>
      <xdr:rowOff>146050</xdr:rowOff>
    </xdr:from>
    <xdr:ext cx="1558953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E7350974-A2A6-4309-A8EA-168D98B771DD}"/>
            </a:ext>
          </a:extLst>
        </xdr:cNvPr>
        <xdr:cNvSpPr txBox="1"/>
      </xdr:nvSpPr>
      <xdr:spPr>
        <a:xfrm>
          <a:off x="14236700" y="1771650"/>
          <a:ext cx="155895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= (d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(bar)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l-G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μ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)/(S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/sqrt(n))  </a:t>
          </a:r>
          <a:endParaRPr lang="en-US" sz="1100"/>
        </a:p>
      </xdr:txBody>
    </xdr:sp>
    <xdr:clientData/>
  </xdr:oneCellAnchor>
  <xdr:twoCellAnchor editAs="oneCell">
    <xdr:from>
      <xdr:col>11</xdr:col>
      <xdr:colOff>181132</xdr:colOff>
      <xdr:row>5</xdr:row>
      <xdr:rowOff>50801</xdr:rowOff>
    </xdr:from>
    <xdr:to>
      <xdr:col>13</xdr:col>
      <xdr:colOff>238811</xdr:colOff>
      <xdr:row>8</xdr:row>
      <xdr:rowOff>6350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6281734-D63C-4F49-AF0F-88D94FB5BB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808232" y="1047751"/>
          <a:ext cx="2305579" cy="584199"/>
        </a:xfrm>
        <a:prstGeom prst="rect">
          <a:avLst/>
        </a:prstGeom>
      </xdr:spPr>
    </xdr:pic>
    <xdr:clientData/>
  </xdr:twoCellAnchor>
  <xdr:oneCellAnchor>
    <xdr:from>
      <xdr:col>11</xdr:col>
      <xdr:colOff>25400</xdr:colOff>
      <xdr:row>16</xdr:row>
      <xdr:rowOff>152400</xdr:rowOff>
    </xdr:from>
    <xdr:ext cx="1249253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B4D2F5BA-3434-48EF-84CB-4ACD5FA0D49D}"/>
            </a:ext>
          </a:extLst>
        </xdr:cNvPr>
        <xdr:cNvSpPr txBox="1"/>
      </xdr:nvSpPr>
      <xdr:spPr>
        <a:xfrm>
          <a:off x="13652500" y="3403600"/>
          <a:ext cx="124925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E= t</a:t>
          </a:r>
          <a:r>
            <a:rPr lang="el-GR" sz="1100" baseline="-25000"/>
            <a:t>α</a:t>
          </a:r>
          <a:r>
            <a:rPr lang="en-US" sz="1100" baseline="-25000"/>
            <a:t>/2</a:t>
          </a:r>
          <a:r>
            <a:rPr lang="en-US" sz="1100"/>
            <a:t>*(</a:t>
          </a:r>
          <a:r>
            <a:rPr lang="en-US" sz="1100" i="1"/>
            <a:t>S</a:t>
          </a:r>
          <a:r>
            <a:rPr lang="en-US" sz="1100" baseline="-25000"/>
            <a:t>d</a:t>
          </a:r>
          <a:r>
            <a:rPr lang="en-US" sz="1100"/>
            <a:t>/sqrt(n))</a:t>
          </a:r>
        </a:p>
      </xdr:txBody>
    </xdr:sp>
    <xdr:clientData/>
  </xdr:oneCellAnchor>
  <xdr:oneCellAnchor>
    <xdr:from>
      <xdr:col>11</xdr:col>
      <xdr:colOff>133350</xdr:colOff>
      <xdr:row>17</xdr:row>
      <xdr:rowOff>196850</xdr:rowOff>
    </xdr:from>
    <xdr:ext cx="311457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5CEE41AE-6951-449F-B27B-6920A8F3BAF6}"/>
            </a:ext>
          </a:extLst>
        </xdr:cNvPr>
        <xdr:cNvSpPr txBox="1"/>
      </xdr:nvSpPr>
      <xdr:spPr>
        <a:xfrm>
          <a:off x="13760450" y="3632200"/>
          <a:ext cx="31145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if this</a:t>
          </a:r>
          <a:r>
            <a:rPr lang="en-US" sz="1100" baseline="0"/>
            <a:t> confidence interval has the 0 we fail to reject</a:t>
          </a:r>
          <a:endParaRPr lang="en-US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800100</xdr:colOff>
      <xdr:row>7</xdr:row>
      <xdr:rowOff>184150</xdr:rowOff>
    </xdr:from>
    <xdr:ext cx="2687595" cy="436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E007727-B0A3-4B53-9A3A-B618E6DFCA2B}"/>
            </a:ext>
          </a:extLst>
        </xdr:cNvPr>
        <xdr:cNvSpPr txBox="1"/>
      </xdr:nvSpPr>
      <xdr:spPr>
        <a:xfrm>
          <a:off x="5397500" y="1574800"/>
          <a:ext cx="268759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sts = (d-</a:t>
          </a:r>
          <a:r>
            <a:rPr lang="el-G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μ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)/(S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/sqrt(n))  (</a:t>
          </a:r>
          <a:r>
            <a:rPr lang="el-G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μ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 in this case is 0)</a:t>
          </a:r>
          <a:endParaRPr lang="en-US">
            <a:effectLst/>
          </a:endParaRPr>
        </a:p>
        <a:p>
          <a:endParaRPr lang="en-US" sz="1100"/>
        </a:p>
      </xdr:txBody>
    </xdr:sp>
    <xdr:clientData/>
  </xdr:oneCellAnchor>
  <xdr:oneCellAnchor>
    <xdr:from>
      <xdr:col>2</xdr:col>
      <xdr:colOff>908050</xdr:colOff>
      <xdr:row>8</xdr:row>
      <xdr:rowOff>146050</xdr:rowOff>
    </xdr:from>
    <xdr:ext cx="1558953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2C91486-B396-438D-9026-AFA8A987A2B0}"/>
            </a:ext>
          </a:extLst>
        </xdr:cNvPr>
        <xdr:cNvSpPr txBox="1"/>
      </xdr:nvSpPr>
      <xdr:spPr>
        <a:xfrm>
          <a:off x="2965450" y="1746250"/>
          <a:ext cx="155895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= (d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(bar)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l-G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μ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)/(S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/sqrt(n))  </a:t>
          </a:r>
          <a:endParaRPr lang="en-US" sz="1100"/>
        </a:p>
      </xdr:txBody>
    </xdr:sp>
    <xdr:clientData/>
  </xdr:oneCellAnchor>
  <xdr:twoCellAnchor editAs="oneCell">
    <xdr:from>
      <xdr:col>2</xdr:col>
      <xdr:colOff>181132</xdr:colOff>
      <xdr:row>5</xdr:row>
      <xdr:rowOff>50801</xdr:rowOff>
    </xdr:from>
    <xdr:to>
      <xdr:col>2</xdr:col>
      <xdr:colOff>2486711</xdr:colOff>
      <xdr:row>8</xdr:row>
      <xdr:rowOff>31750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FC22E00-46BA-4B6D-B4D6-7842178D46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38532" y="1047751"/>
          <a:ext cx="2305579" cy="584199"/>
        </a:xfrm>
        <a:prstGeom prst="rect">
          <a:avLst/>
        </a:prstGeom>
      </xdr:spPr>
    </xdr:pic>
    <xdr:clientData/>
  </xdr:twoCellAnchor>
  <xdr:oneCellAnchor>
    <xdr:from>
      <xdr:col>2</xdr:col>
      <xdr:colOff>25400</xdr:colOff>
      <xdr:row>16</xdr:row>
      <xdr:rowOff>152400</xdr:rowOff>
    </xdr:from>
    <xdr:ext cx="1249253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979F071-6FED-415A-847B-4C6DC0FCF090}"/>
            </a:ext>
          </a:extLst>
        </xdr:cNvPr>
        <xdr:cNvSpPr txBox="1"/>
      </xdr:nvSpPr>
      <xdr:spPr>
        <a:xfrm>
          <a:off x="2082800" y="3302000"/>
          <a:ext cx="124925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E= t</a:t>
          </a:r>
          <a:r>
            <a:rPr lang="el-GR" sz="1100" baseline="-25000"/>
            <a:t>α</a:t>
          </a:r>
          <a:r>
            <a:rPr lang="en-US" sz="1100" baseline="-25000"/>
            <a:t>/2</a:t>
          </a:r>
          <a:r>
            <a:rPr lang="en-US" sz="1100"/>
            <a:t>*(</a:t>
          </a:r>
          <a:r>
            <a:rPr lang="en-US" sz="1100" i="1"/>
            <a:t>S</a:t>
          </a:r>
          <a:r>
            <a:rPr lang="en-US" sz="1100" baseline="-25000"/>
            <a:t>d</a:t>
          </a:r>
          <a:r>
            <a:rPr lang="en-US" sz="1100"/>
            <a:t>/sqrt(n))</a:t>
          </a:r>
        </a:p>
      </xdr:txBody>
    </xdr:sp>
    <xdr:clientData/>
  </xdr:oneCellAnchor>
  <xdr:oneCellAnchor>
    <xdr:from>
      <xdr:col>4</xdr:col>
      <xdr:colOff>184150</xdr:colOff>
      <xdr:row>10</xdr:row>
      <xdr:rowOff>0</xdr:rowOff>
    </xdr:from>
    <xdr:ext cx="3092257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A110F-B7D9-4CF7-B546-A786D323AB16}"/>
            </a:ext>
          </a:extLst>
        </xdr:cNvPr>
        <xdr:cNvSpPr txBox="1"/>
      </xdr:nvSpPr>
      <xdr:spPr>
        <a:xfrm>
          <a:off x="5594350" y="1993900"/>
          <a:ext cx="30922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=IF(B4&lt;0.5,-T.INV((B4),B3-1),-T.INV((1-B4)/2,B3-1))</a:t>
          </a:r>
        </a:p>
      </xdr:txBody>
    </xdr:sp>
    <xdr:clientData/>
  </xdr:oneCellAnchor>
  <xdr:oneCellAnchor>
    <xdr:from>
      <xdr:col>2</xdr:col>
      <xdr:colOff>133350</xdr:colOff>
      <xdr:row>17</xdr:row>
      <xdr:rowOff>196850</xdr:rowOff>
    </xdr:from>
    <xdr:ext cx="311457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58309E4-1139-4674-B67E-55183C909C6F}"/>
            </a:ext>
          </a:extLst>
        </xdr:cNvPr>
        <xdr:cNvSpPr txBox="1"/>
      </xdr:nvSpPr>
      <xdr:spPr>
        <a:xfrm>
          <a:off x="2190750" y="3530600"/>
          <a:ext cx="31145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if this</a:t>
          </a:r>
          <a:r>
            <a:rPr lang="en-US" sz="1100" baseline="0"/>
            <a:t> confidence interval has the 0 we fail to reject</a:t>
          </a:r>
          <a:endParaRPr lang="en-US" sz="1100"/>
        </a:p>
      </xdr:txBody>
    </xdr:sp>
    <xdr:clientData/>
  </xdr:oneCellAnchor>
  <xdr:twoCellAnchor editAs="oneCell">
    <xdr:from>
      <xdr:col>8</xdr:col>
      <xdr:colOff>120650</xdr:colOff>
      <xdr:row>1</xdr:row>
      <xdr:rowOff>82551</xdr:rowOff>
    </xdr:from>
    <xdr:to>
      <xdr:col>15</xdr:col>
      <xdr:colOff>213864</xdr:colOff>
      <xdr:row>9</xdr:row>
      <xdr:rowOff>23279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CC7F01B-7E83-4E91-86ED-40F01BD98C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64700" y="292101"/>
          <a:ext cx="3668264" cy="154092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25400</xdr:colOff>
      <xdr:row>17</xdr:row>
      <xdr:rowOff>0</xdr:rowOff>
    </xdr:from>
    <xdr:ext cx="1021626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567D3C7-028F-46EC-AF41-6DAC0F463A0A}"/>
            </a:ext>
          </a:extLst>
        </xdr:cNvPr>
        <xdr:cNvSpPr txBox="1"/>
      </xdr:nvSpPr>
      <xdr:spPr>
        <a:xfrm>
          <a:off x="7848600" y="3371850"/>
          <a:ext cx="102162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=(z^2*pq)/E^2</a:t>
          </a:r>
          <a:endParaRPr lang="en-US">
            <a:effectLst/>
          </a:endParaRPr>
        </a:p>
      </xdr:txBody>
    </xdr:sp>
    <xdr:clientData/>
  </xdr:oneCellAnchor>
  <xdr:oneCellAnchor>
    <xdr:from>
      <xdr:col>11</xdr:col>
      <xdr:colOff>0</xdr:colOff>
      <xdr:row>18</xdr:row>
      <xdr:rowOff>0</xdr:rowOff>
    </xdr:from>
    <xdr:ext cx="1219308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F3CA98D-45BA-4AAA-969B-A684C659C018}"/>
            </a:ext>
          </a:extLst>
        </xdr:cNvPr>
        <xdr:cNvSpPr txBox="1"/>
      </xdr:nvSpPr>
      <xdr:spPr>
        <a:xfrm>
          <a:off x="7823200" y="3581400"/>
          <a:ext cx="121930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=(Z^2*0.25)/(E^2)</a:t>
          </a:r>
        </a:p>
      </xdr:txBody>
    </xdr:sp>
    <xdr:clientData/>
  </xdr:oneCellAnchor>
  <xdr:oneCellAnchor>
    <xdr:from>
      <xdr:col>16</xdr:col>
      <xdr:colOff>114299</xdr:colOff>
      <xdr:row>11</xdr:row>
      <xdr:rowOff>22225</xdr:rowOff>
    </xdr:from>
    <xdr:ext cx="1129027" cy="609013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35A7506-E897-4260-9ABD-980127A844C4}"/>
            </a:ext>
          </a:extLst>
        </xdr:cNvPr>
        <xdr:cNvSpPr txBox="1"/>
      </xdr:nvSpPr>
      <xdr:spPr>
        <a:xfrm>
          <a:off x="10985499" y="2187575"/>
          <a:ext cx="1129027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=Z*SQRT(p*q/n)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=t*SQRT(p*q/n)</a:t>
          </a:r>
          <a:endParaRPr lang="en-US">
            <a:effectLst/>
          </a:endParaRPr>
        </a:p>
        <a:p>
          <a:endParaRPr lang="en-US" sz="1100"/>
        </a:p>
      </xdr:txBody>
    </xdr:sp>
    <xdr:clientData/>
  </xdr:oneCellAnchor>
  <xdr:oneCellAnchor>
    <xdr:from>
      <xdr:col>11</xdr:col>
      <xdr:colOff>0</xdr:colOff>
      <xdr:row>8</xdr:row>
      <xdr:rowOff>139700</xdr:rowOff>
    </xdr:from>
    <xdr:ext cx="1599797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6A78253-2996-468B-84E7-18616EA1E59C}"/>
            </a:ext>
          </a:extLst>
        </xdr:cNvPr>
        <xdr:cNvSpPr txBox="1"/>
      </xdr:nvSpPr>
      <xdr:spPr>
        <a:xfrm>
          <a:off x="7823200" y="1752600"/>
          <a:ext cx="15997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=-NORM.S.INV((1-(</a:t>
          </a:r>
          <a:r>
            <a:rPr lang="el-GR" sz="1100"/>
            <a:t>α</a:t>
          </a:r>
          <a:r>
            <a:rPr lang="en-US" sz="1100"/>
            <a:t>))/2)</a:t>
          </a:r>
        </a:p>
      </xdr:txBody>
    </xdr:sp>
    <xdr:clientData/>
  </xdr:oneCellAnchor>
  <xdr:oneCellAnchor>
    <xdr:from>
      <xdr:col>12</xdr:col>
      <xdr:colOff>431800</xdr:colOff>
      <xdr:row>11</xdr:row>
      <xdr:rowOff>165100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4BF74323-AF20-441F-B327-09E776D734EF}"/>
            </a:ext>
          </a:extLst>
        </xdr:cNvPr>
        <xdr:cNvSpPr txBox="1"/>
      </xdr:nvSpPr>
      <xdr:spPr>
        <a:xfrm>
          <a:off x="8864600" y="233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120650</xdr:colOff>
      <xdr:row>8</xdr:row>
      <xdr:rowOff>38100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7C86208-4675-4E46-ACD7-60065153DDE6}"/>
            </a:ext>
          </a:extLst>
        </xdr:cNvPr>
        <xdr:cNvSpPr txBox="1"/>
      </xdr:nvSpPr>
      <xdr:spPr>
        <a:xfrm>
          <a:off x="7943850" y="165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6350</xdr:colOff>
      <xdr:row>8</xdr:row>
      <xdr:rowOff>0</xdr:rowOff>
    </xdr:from>
    <xdr:ext cx="1129027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BB9914EF-9C5F-4490-BC37-4AE6193A50FC}"/>
            </a:ext>
          </a:extLst>
        </xdr:cNvPr>
        <xdr:cNvSpPr txBox="1"/>
      </xdr:nvSpPr>
      <xdr:spPr>
        <a:xfrm>
          <a:off x="7829550" y="1612900"/>
          <a:ext cx="112902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=Z*SQRT(p*q/n)</a:t>
          </a:r>
        </a:p>
      </xdr:txBody>
    </xdr:sp>
    <xdr:clientData/>
  </xdr:oneCellAnchor>
  <xdr:oneCellAnchor>
    <xdr:from>
      <xdr:col>10</xdr:col>
      <xdr:colOff>165100</xdr:colOff>
      <xdr:row>11</xdr:row>
      <xdr:rowOff>184150</xdr:rowOff>
    </xdr:from>
    <xdr:ext cx="3360022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F856716-2EE1-401D-837A-8D27E6C0DAAD}"/>
            </a:ext>
          </a:extLst>
        </xdr:cNvPr>
        <xdr:cNvSpPr txBox="1"/>
      </xdr:nvSpPr>
      <xdr:spPr>
        <a:xfrm>
          <a:off x="7378700" y="2349500"/>
          <a:ext cx="336002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=IF(B3&gt;B4,B10*SQRT(B9*(1-B9)/B8),B11*B7/SQRT(B8))</a:t>
          </a:r>
        </a:p>
      </xdr:txBody>
    </xdr:sp>
    <xdr:clientData/>
  </xdr:oneCellAnchor>
  <xdr:oneCellAnchor>
    <xdr:from>
      <xdr:col>10</xdr:col>
      <xdr:colOff>387350</xdr:colOff>
      <xdr:row>2</xdr:row>
      <xdr:rowOff>69850</xdr:rowOff>
    </xdr:from>
    <xdr:ext cx="1352743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8CBFE620-80C7-4598-90F5-33C79F4DD3F5}"/>
            </a:ext>
          </a:extLst>
        </xdr:cNvPr>
        <xdr:cNvSpPr txBox="1"/>
      </xdr:nvSpPr>
      <xdr:spPr>
        <a:xfrm>
          <a:off x="7600950" y="438150"/>
          <a:ext cx="135274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Clear</a:t>
          </a:r>
          <a:r>
            <a:rPr lang="en-US" sz="1100" baseline="0"/>
            <a:t> after each FXN</a:t>
          </a:r>
          <a:endParaRPr lang="en-US" sz="1100"/>
        </a:p>
      </xdr:txBody>
    </xdr:sp>
    <xdr:clientData/>
  </xdr:oneCellAnchor>
  <xdr:oneCellAnchor>
    <xdr:from>
      <xdr:col>10</xdr:col>
      <xdr:colOff>171450</xdr:colOff>
      <xdr:row>13</xdr:row>
      <xdr:rowOff>133350</xdr:rowOff>
    </xdr:from>
    <xdr:ext cx="2180533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784ADEA3-C481-4784-958B-CFAC665EDB82}"/>
            </a:ext>
          </a:extLst>
        </xdr:cNvPr>
        <xdr:cNvSpPr txBox="1"/>
      </xdr:nvSpPr>
      <xdr:spPr>
        <a:xfrm>
          <a:off x="7385050" y="2717800"/>
          <a:ext cx="218053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=IF(</a:t>
          </a:r>
          <a:r>
            <a:rPr lang="el-GR" sz="1100"/>
            <a:t>α</a:t>
          </a:r>
          <a:r>
            <a:rPr lang="en-US" sz="1100"/>
            <a:t>(z)=ISBLANK(0),"0",(P(hat)-</a:t>
          </a:r>
          <a:r>
            <a:rPr lang="el-GR" sz="1100"/>
            <a:t>μ</a:t>
          </a:r>
          <a:r>
            <a:rPr lang="en-US" sz="1100"/>
            <a:t>))</a:t>
          </a:r>
        </a:p>
      </xdr:txBody>
    </xdr:sp>
    <xdr:clientData/>
  </xdr:oneCellAnchor>
  <xdr:oneCellAnchor>
    <xdr:from>
      <xdr:col>10</xdr:col>
      <xdr:colOff>165100</xdr:colOff>
      <xdr:row>14</xdr:row>
      <xdr:rowOff>120650</xdr:rowOff>
    </xdr:from>
    <xdr:ext cx="2207592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D722B8D3-0D32-4867-8E88-B343032A09E4}"/>
            </a:ext>
          </a:extLst>
        </xdr:cNvPr>
        <xdr:cNvSpPr txBox="1"/>
      </xdr:nvSpPr>
      <xdr:spPr>
        <a:xfrm>
          <a:off x="7378700" y="2889250"/>
          <a:ext cx="220759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=IF(</a:t>
          </a:r>
          <a:r>
            <a:rPr lang="el-G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(z)=ISBLANK(0),"0",(P(hat)+</a:t>
          </a:r>
          <a:r>
            <a:rPr lang="el-G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μ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))</a:t>
          </a:r>
          <a:endParaRPr lang="en-US" sz="1100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635000</xdr:colOff>
      <xdr:row>36</xdr:row>
      <xdr:rowOff>146050</xdr:rowOff>
    </xdr:from>
    <xdr:ext cx="9539343" cy="52591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A796E449-082F-456B-9F63-2EDE9F0B76AB}"/>
                </a:ext>
              </a:extLst>
            </xdr:cNvPr>
            <xdr:cNvSpPr txBox="1"/>
          </xdr:nvSpPr>
          <xdr:spPr>
            <a:xfrm>
              <a:off x="14211300" y="7131050"/>
              <a:ext cx="9539343" cy="52591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If P-value&gt;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α, Fail to rejectH0, 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There is not sufficient evidence to support the claim that P&gt;0.9    .</a:t>
              </a:r>
              <a:endParaRPr lang="en-US">
                <a:effectLst/>
              </a:endParaRPr>
            </a:p>
            <a:p>
              <a:pPr eaLnBrk="1" fontAlgn="auto" latinLnBrk="0" hangingPunct="1"/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If P-value &lt;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α, Reject H0, :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There is sufficient evidence to support the claim that p≠0.255.</a:t>
              </a:r>
              <a:endParaRPr lang="en-US">
                <a:effectLst/>
              </a:endParaRPr>
            </a:p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if P-value &lt;=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α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Reject H0,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 There is sufficient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evidence to suppot claim....</a:t>
              </a:r>
              <a:endParaRPr lang="en-US">
                <a:effectLst/>
              </a:endParaRPr>
            </a:p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Pv&lt;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α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,Reject H0,There is sufficient evidence to warrant rejection of the claim that the mean pulse rate​ (in beats per​ minute) of the group of adult males is 75 </a:t>
              </a:r>
              <a:endParaRPr lang="en-US">
                <a:effectLst/>
              </a:endParaRPr>
            </a:p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bpm.</a:t>
              </a:r>
            </a:p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Fail to reject the null hypothesis because the​ P-value is greater than the significance​ level, 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α.</a:t>
              </a:r>
              <a:endParaRPr lang="en-US">
                <a:effectLst/>
              </a:endParaRPr>
            </a:p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&amp;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is not</a:t>
              </a:r>
              <a:r>
                <a:rPr lang="en-US" sz="1100" b="1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sufficient evidence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to 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support the claim ...</a:t>
              </a:r>
              <a:endParaRPr lang="en-US">
                <a:effectLst/>
              </a:endParaRPr>
            </a:p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Because the​ 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P-value is greater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than the significance​ level, 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fail to reject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the 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null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hypothesis. </a:t>
              </a:r>
              <a:endParaRPr lang="en-US">
                <a:effectLst/>
              </a:endParaRPr>
            </a:p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There 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is insufficient evidence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to 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support the claim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that the return rate is less than​ 20%.</a:t>
              </a:r>
              <a:endParaRPr lang="en-US">
                <a:effectLst/>
              </a:endParaRPr>
            </a:p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P&gt;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α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Fail to RejectH0. There is sufficient evidence to conclude that the original claim that the mean of the population of student course evaluations is equal to 3.50 </a:t>
              </a:r>
              <a:endParaRPr lang="en-US">
                <a:effectLst/>
              </a:endParaRPr>
            </a:p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is not correct.</a:t>
              </a:r>
              <a:endParaRPr lang="en-US">
                <a:effectLst/>
              </a:endParaRPr>
            </a:p>
            <a:p>
              <a:endParaRPr lang="en-US">
                <a:effectLst/>
              </a:endParaRPr>
            </a:p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***If most of something .....P=0.5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and this is a right hand test for H1&gt;0.5</a:t>
              </a:r>
            </a:p>
            <a:p>
              <a:r>
                <a:rPr lang="en-US" sz="11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***if less than something...P=0.5 and this is a left hand test for H1&lt;0.5</a:t>
              </a:r>
              <a:endParaRPr lang="en-US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If Pv&lt;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α,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Reject H0 because the​ P-value is less than or equal to 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α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rtl="0" eaLnBrk="1" latinLnBrk="0" hangingPunct="1"/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Requirements:</a:t>
              </a:r>
              <a:endParaRPr lang="en-US">
                <a:effectLst/>
              </a:endParaRPr>
            </a:p>
            <a:p>
              <a:pPr rtl="0" eaLnBrk="1" latinLnBrk="0" hangingPunct="1"/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The statistic meets criteria for a binomial distribution.</a:t>
              </a:r>
              <a:endParaRPr lang="en-US">
                <a:effectLst/>
              </a:endParaRPr>
            </a:p>
            <a:p>
              <a:pPr rtl="0" eaLnBrk="1" latinLnBrk="0" hangingPunct="1"/>
              <a14:m>
                <m:oMath xmlns:m="http://schemas.openxmlformats.org/officeDocument/2006/math"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𝑛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∙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𝑝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≥5</m:t>
                  </m:r>
                </m:oMath>
              </a14:m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and </a:t>
              </a:r>
              <a14:m>
                <m:oMath xmlns:m="http://schemas.openxmlformats.org/officeDocument/2006/math"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𝑛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∙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𝑞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≥5</m:t>
                  </m:r>
                </m:oMath>
              </a14:m>
              <a:endParaRPr lang="en-US">
                <a:effectLst/>
              </a:endParaRPr>
            </a:p>
            <a:p>
              <a:pPr rtl="0" eaLnBrk="1" latinLnBrk="0" hangingPunct="1"/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If </a:t>
              </a:r>
              <a14:m>
                <m:oMath xmlns:m="http://schemas.openxmlformats.org/officeDocument/2006/math"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𝑃</m:t>
                  </m:r>
                  <m:r>
                    <a:rPr lang="en-US" sz="11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−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𝑣𝑎𝑙𝑢𝑒</m:t>
                  </m:r>
                  <m:r>
                    <a:rPr lang="en-US" sz="11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≤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𝛼</m:t>
                  </m:r>
                </m:oMath>
              </a14:m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decision is “Reject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𝐻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0</m:t>
                      </m:r>
                    </m:sub>
                  </m:sSub>
                </m:oMath>
              </a14:m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”</a:t>
              </a:r>
              <a:endParaRPr lang="en-US">
                <a:effectLst/>
              </a:endParaRPr>
            </a:p>
            <a:p>
              <a:pPr rtl="0" eaLnBrk="1" latinLnBrk="0" hangingPunct="1"/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If </a:t>
              </a:r>
              <a14:m>
                <m:oMath xmlns:m="http://schemas.openxmlformats.org/officeDocument/2006/math"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𝑃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−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𝑣𝑎𝑙𝑢𝑒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&gt;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𝛼</m:t>
                  </m:r>
                </m:oMath>
              </a14:m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decision is “Fail to reject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𝐻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0</m:t>
                      </m:r>
                    </m:sub>
                  </m:sSub>
                </m:oMath>
              </a14:m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”</a:t>
              </a:r>
              <a:endParaRPr lang="en-US">
                <a:effectLst/>
              </a:endParaRPr>
            </a:p>
            <a:p>
              <a:pPr marL="0" marR="0" lvl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PValue:</a:t>
              </a:r>
            </a:p>
            <a:p>
              <a:pPr marL="0" marR="0" lvl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To determine the direction of a hypothesis test, look at the </a:t>
              </a:r>
              <a:r>
                <a:rPr lang="en-US" sz="11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alternative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hypothesis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.</a:t>
              </a:r>
            </a:p>
            <a:p>
              <a:pPr marL="0" marR="0" lvl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For a two-tailed test, find the area to the </a:t>
              </a:r>
              <a:r>
                <a:rPr lang="en-US" sz="11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left of a negative test statistic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</a:p>
            <a:p>
              <a:pPr marL="0" marR="0" lvl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or to the </a:t>
              </a:r>
              <a:r>
                <a:rPr lang="en-US" sz="11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right of a positive test statistic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and </a:t>
              </a:r>
              <a:r>
                <a:rPr lang="en-US" sz="11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double 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the area you calculate.</a:t>
              </a:r>
            </a:p>
            <a:p>
              <a:pPr marL="0" marR="0" lvl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1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Interpretations must include:</a:t>
              </a:r>
              <a:endParaRPr lang="en-US">
                <a:effectLst/>
              </a:endParaRPr>
            </a:p>
            <a:p>
              <a:r>
                <a:rPr lang="en-US" sz="11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The level of significance.</a:t>
              </a:r>
              <a:endParaRPr lang="en-US">
                <a:effectLst/>
              </a:endParaRPr>
            </a:p>
            <a:p>
              <a:r>
                <a:rPr lang="en-US" sz="11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The decision in terms of the original claim, based on data or “evidence.”</a:t>
              </a:r>
              <a:endParaRPr lang="en-US">
                <a:effectLst/>
              </a:endParaRPr>
            </a:p>
            <a:p>
              <a:pPr marL="0" marR="0" lvl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A796E449-082F-456B-9F63-2EDE9F0B76AB}"/>
                </a:ext>
              </a:extLst>
            </xdr:cNvPr>
            <xdr:cNvSpPr txBox="1"/>
          </xdr:nvSpPr>
          <xdr:spPr>
            <a:xfrm>
              <a:off x="14211300" y="7131050"/>
              <a:ext cx="9539343" cy="52591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If P-value&gt;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α, Fail to rejectH0, 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There is not sufficient evidence to support the claim that P&gt;0.9    .</a:t>
              </a:r>
              <a:endParaRPr lang="en-US">
                <a:effectLst/>
              </a:endParaRPr>
            </a:p>
            <a:p>
              <a:pPr eaLnBrk="1" fontAlgn="auto" latinLnBrk="0" hangingPunct="1"/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If P-value &lt;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α, Reject H0, :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There is sufficient evidence to support the claim that p≠0.255.</a:t>
              </a:r>
              <a:endParaRPr lang="en-US">
                <a:effectLst/>
              </a:endParaRPr>
            </a:p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if P-value &lt;=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α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Reject H0,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 There is sufficient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evidence to suppot claim....</a:t>
              </a:r>
              <a:endParaRPr lang="en-US">
                <a:effectLst/>
              </a:endParaRPr>
            </a:p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Pv&lt;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α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,Reject H0,There is sufficient evidence to warrant rejection of the claim that the mean pulse rate​ (in beats per​ minute) of the group of adult males is 75 </a:t>
              </a:r>
              <a:endParaRPr lang="en-US">
                <a:effectLst/>
              </a:endParaRPr>
            </a:p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bpm.</a:t>
              </a:r>
            </a:p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Fail to reject the null hypothesis because the​ P-value is greater than the significance​ level, 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α.</a:t>
              </a:r>
              <a:endParaRPr lang="en-US">
                <a:effectLst/>
              </a:endParaRPr>
            </a:p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&amp;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is not</a:t>
              </a:r>
              <a:r>
                <a:rPr lang="en-US" sz="1100" b="1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sufficient evidence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to 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support the claim ...</a:t>
              </a:r>
              <a:endParaRPr lang="en-US">
                <a:effectLst/>
              </a:endParaRPr>
            </a:p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Because the​ 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P-value is greater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than the significance​ level, 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fail to reject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the 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null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hypothesis. </a:t>
              </a:r>
              <a:endParaRPr lang="en-US">
                <a:effectLst/>
              </a:endParaRPr>
            </a:p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There 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is insufficient evidence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to 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support the claim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that the return rate is less than​ 20%.</a:t>
              </a:r>
              <a:endParaRPr lang="en-US">
                <a:effectLst/>
              </a:endParaRPr>
            </a:p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P&gt;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α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Fail to RejectH0. There is sufficient evidence to conclude that the original claim that the mean of the population of student course evaluations is equal to 3.50 </a:t>
              </a:r>
              <a:endParaRPr lang="en-US">
                <a:effectLst/>
              </a:endParaRPr>
            </a:p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is not correct.</a:t>
              </a:r>
              <a:endParaRPr lang="en-US">
                <a:effectLst/>
              </a:endParaRPr>
            </a:p>
            <a:p>
              <a:endParaRPr lang="en-US">
                <a:effectLst/>
              </a:endParaRPr>
            </a:p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***If most of something .....P=0.5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and this is a right hand test for H1&gt;0.5</a:t>
              </a:r>
            </a:p>
            <a:p>
              <a:r>
                <a:rPr lang="en-US" sz="11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***if less than something...P=0.5 and this is a left hand test for H1&lt;0.5</a:t>
              </a:r>
              <a:endParaRPr lang="en-US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If Pv&lt;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α,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Reject H0 because the​ P-value is less than or equal to 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α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rtl="0" eaLnBrk="1" latinLnBrk="0" hangingPunct="1"/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Requirements:</a:t>
              </a:r>
              <a:endParaRPr lang="en-US">
                <a:effectLst/>
              </a:endParaRPr>
            </a:p>
            <a:p>
              <a:pPr rtl="0" eaLnBrk="1" latinLnBrk="0" hangingPunct="1"/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The statistic meets criteria for a binomial distribution.</a:t>
              </a:r>
              <a:endParaRPr lang="en-US">
                <a:effectLst/>
              </a:endParaRPr>
            </a:p>
            <a:p>
              <a:pPr rtl="0" eaLnBrk="1" latinLnBrk="0" hangingPunct="1"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𝑛∙𝑝≥5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and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𝑛∙𝑞≥5</a:t>
              </a:r>
              <a:endParaRPr lang="en-US">
                <a:effectLst/>
              </a:endParaRPr>
            </a:p>
            <a:p>
              <a:pPr rtl="0" eaLnBrk="1" latinLnBrk="0" hangingPunct="1"/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If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𝑃−𝑣𝑎𝑙𝑢𝑒≤𝛼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decision is “Reject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𝐻_0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”</a:t>
              </a:r>
              <a:endParaRPr lang="en-US">
                <a:effectLst/>
              </a:endParaRPr>
            </a:p>
            <a:p>
              <a:pPr rtl="0" eaLnBrk="1" latinLnBrk="0" hangingPunct="1"/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If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𝑃−𝑣𝑎𝑙𝑢𝑒&gt;𝛼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decision is “Fail to reject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𝐻_0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”</a:t>
              </a:r>
              <a:endParaRPr lang="en-US">
                <a:effectLst/>
              </a:endParaRPr>
            </a:p>
            <a:p>
              <a:pPr marL="0" marR="0" lvl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PValue:</a:t>
              </a:r>
            </a:p>
            <a:p>
              <a:pPr marL="0" marR="0" lvl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To determine the direction of a hypothesis test, look at the </a:t>
              </a:r>
              <a:r>
                <a:rPr lang="en-US" sz="11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alternative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hypothesis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.</a:t>
              </a:r>
            </a:p>
            <a:p>
              <a:pPr marL="0" marR="0" lvl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For a two-tailed test, find the area to the </a:t>
              </a:r>
              <a:r>
                <a:rPr lang="en-US" sz="11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left of a negative test statistic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</a:p>
            <a:p>
              <a:pPr marL="0" marR="0" lvl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or to the </a:t>
              </a:r>
              <a:r>
                <a:rPr lang="en-US" sz="11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right of a positive test statistic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and </a:t>
              </a:r>
              <a:r>
                <a:rPr lang="en-US" sz="11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double 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the area you calculate.</a:t>
              </a:r>
            </a:p>
            <a:p>
              <a:pPr marL="0" marR="0" lvl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1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Interpretations must include:</a:t>
              </a:r>
              <a:endParaRPr lang="en-US">
                <a:effectLst/>
              </a:endParaRPr>
            </a:p>
            <a:p>
              <a:r>
                <a:rPr lang="en-US" sz="11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The level of significance.</a:t>
              </a:r>
              <a:endParaRPr lang="en-US">
                <a:effectLst/>
              </a:endParaRPr>
            </a:p>
            <a:p>
              <a:r>
                <a:rPr lang="en-US" sz="11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The decision in terms of the original claim, based on data or “evidence.”</a:t>
              </a:r>
              <a:endParaRPr lang="en-US">
                <a:effectLst/>
              </a:endParaRPr>
            </a:p>
            <a:p>
              <a:pPr marL="0" marR="0" lvl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endParaRPr lang="en-US" sz="1100"/>
            </a:p>
          </xdr:txBody>
        </xdr:sp>
      </mc:Fallback>
    </mc:AlternateContent>
    <xdr:clientData/>
  </xdr:oneCellAnchor>
  <xdr:twoCellAnchor editAs="oneCell">
    <xdr:from>
      <xdr:col>7</xdr:col>
      <xdr:colOff>209550</xdr:colOff>
      <xdr:row>33</xdr:row>
      <xdr:rowOff>0</xdr:rowOff>
    </xdr:from>
    <xdr:to>
      <xdr:col>8</xdr:col>
      <xdr:colOff>603527</xdr:colOff>
      <xdr:row>37</xdr:row>
      <xdr:rowOff>43113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80636F2-A672-45C7-BC0F-058AC9D13C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85250" y="6432550"/>
          <a:ext cx="1689377" cy="779713"/>
        </a:xfrm>
        <a:prstGeom prst="rect">
          <a:avLst/>
        </a:prstGeom>
      </xdr:spPr>
    </xdr:pic>
    <xdr:clientData/>
  </xdr:twoCellAnchor>
  <xdr:twoCellAnchor editAs="oneCell">
    <xdr:from>
      <xdr:col>7</xdr:col>
      <xdr:colOff>57150</xdr:colOff>
      <xdr:row>24</xdr:row>
      <xdr:rowOff>127000</xdr:rowOff>
    </xdr:from>
    <xdr:to>
      <xdr:col>8</xdr:col>
      <xdr:colOff>535530</xdr:colOff>
      <xdr:row>28</xdr:row>
      <xdr:rowOff>120780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6C3FFB2-F2C2-4701-B440-1130274752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32850" y="4902200"/>
          <a:ext cx="1773780" cy="730380"/>
        </a:xfrm>
        <a:prstGeom prst="rect">
          <a:avLst/>
        </a:prstGeom>
      </xdr:spPr>
    </xdr:pic>
    <xdr:clientData/>
  </xdr:twoCellAnchor>
  <xdr:twoCellAnchor editAs="oneCell">
    <xdr:from>
      <xdr:col>7</xdr:col>
      <xdr:colOff>177800</xdr:colOff>
      <xdr:row>28</xdr:row>
      <xdr:rowOff>69850</xdr:rowOff>
    </xdr:from>
    <xdr:to>
      <xdr:col>8</xdr:col>
      <xdr:colOff>470182</xdr:colOff>
      <xdr:row>32</xdr:row>
      <xdr:rowOff>127141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18318E4-4776-43F4-AF09-5A1FD4BD80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53500" y="5581650"/>
          <a:ext cx="1587782" cy="793891"/>
        </a:xfrm>
        <a:prstGeom prst="rect">
          <a:avLst/>
        </a:prstGeom>
      </xdr:spPr>
    </xdr:pic>
    <xdr:clientData/>
  </xdr:twoCellAnchor>
  <xdr:oneCellAnchor>
    <xdr:from>
      <xdr:col>17</xdr:col>
      <xdr:colOff>158750</xdr:colOff>
      <xdr:row>35</xdr:row>
      <xdr:rowOff>146050</xdr:rowOff>
    </xdr:from>
    <xdr:ext cx="8510343" cy="12979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289B1FDC-A627-4191-806B-62D2520746E2}"/>
                </a:ext>
              </a:extLst>
            </xdr:cNvPr>
            <xdr:cNvSpPr txBox="1"/>
          </xdr:nvSpPr>
          <xdr:spPr>
            <a:xfrm>
              <a:off x="18840450" y="6946900"/>
              <a:ext cx="8510343" cy="12979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 lvl="0"/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The test statistic for a hypothesis test is the number (statistic) calculated from the sample data that corresponds to the parameter we are testing.</a:t>
              </a:r>
            </a:p>
            <a:p>
              <a:pPr lvl="1"/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𝑝</m:t>
                      </m:r>
                    </m:e>
                  </m:acc>
                </m:oMath>
              </a14:m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corresponds to </a:t>
              </a:r>
              <a14:m>
                <m:oMath xmlns:m="http://schemas.openxmlformats.org/officeDocument/2006/math">
                  <m:r>
                    <a:rPr lang="en-US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𝑝</m:t>
                  </m:r>
                </m:oMath>
              </a14:m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1"/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e>
                  </m:acc>
                </m:oMath>
              </a14:m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corresponds to </a:t>
              </a:r>
              <a14:m>
                <m:oMath xmlns:m="http://schemas.openxmlformats.org/officeDocument/2006/math">
                  <m:r>
                    <a:rPr lang="en-US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𝜇</m:t>
                  </m:r>
                </m:oMath>
              </a14:m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We standardize the test statistic to a well-known distribution.</a:t>
              </a:r>
            </a:p>
            <a:p>
              <a:pPr lvl="1"/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en-US" sz="1100" b="1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en-US" sz="1100" b="1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𝒑</m:t>
                      </m:r>
                    </m:e>
                  </m:acc>
                </m:oMath>
              </a14:m>
              <a:r>
                <a:rPr lang="en-US" sz="11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is standardized to a </a:t>
              </a:r>
              <a14:m>
                <m:oMath xmlns:m="http://schemas.openxmlformats.org/officeDocument/2006/math">
                  <m:r>
                    <a:rPr lang="en-US" sz="1100" b="1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𝒛</m:t>
                  </m:r>
                </m:oMath>
              </a14:m>
              <a:r>
                <a:rPr lang="en-US" sz="11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-distribution. (See 8-2 Slides for details.)</a:t>
              </a:r>
              <a:endParaRPr lang="en-US" sz="1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1"/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en-US" sz="1100" b="1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en-US" sz="1100" b="1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𝒙</m:t>
                      </m:r>
                    </m:e>
                  </m:acc>
                </m:oMath>
              </a14:m>
              <a:r>
                <a:rPr lang="en-US" sz="11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is standardized to a </a:t>
              </a:r>
              <a14:m>
                <m:oMath xmlns:m="http://schemas.openxmlformats.org/officeDocument/2006/math">
                  <m:r>
                    <a:rPr lang="en-US" sz="1100" b="1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𝒕</m:t>
                  </m:r>
                </m:oMath>
              </a14:m>
              <a:r>
                <a:rPr lang="en-US" sz="11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-distribution. (See 8-3 Slides for details.)</a:t>
              </a:r>
              <a:endParaRPr lang="en-US" sz="1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289B1FDC-A627-4191-806B-62D2520746E2}"/>
                </a:ext>
              </a:extLst>
            </xdr:cNvPr>
            <xdr:cNvSpPr txBox="1"/>
          </xdr:nvSpPr>
          <xdr:spPr>
            <a:xfrm>
              <a:off x="18840450" y="6946900"/>
              <a:ext cx="8510343" cy="12979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 lvl="0"/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The test statistic for a hypothesis test is the number (statistic) calculated from the sample data that corresponds to the parameter we are testing.</a:t>
              </a:r>
            </a:p>
            <a:p>
              <a:pPr lvl="1"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𝑝 ̂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corresponds to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𝑝</a:t>
              </a: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1"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 ̅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corresponds to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𝜇</a:t>
              </a: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We standardize the test statistic to a well-known distribution.</a:t>
              </a:r>
            </a:p>
            <a:p>
              <a:pPr lvl="1"/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𝒑 ̂</a:t>
              </a:r>
              <a:r>
                <a:rPr lang="en-US" sz="11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is standardized to a 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𝒛</a:t>
              </a:r>
              <a:r>
                <a:rPr lang="en-US" sz="11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-distribution. (See 8-2 Slides for details.)</a:t>
              </a:r>
              <a:endParaRPr lang="en-US" sz="1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1"/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𝒙 ̅</a:t>
              </a:r>
              <a:r>
                <a:rPr lang="en-US" sz="11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is standardized to a 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𝒕</a:t>
              </a:r>
              <a:r>
                <a:rPr lang="en-US" sz="11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-distribution. (See 8-3 Slides for details.)</a:t>
              </a:r>
              <a:endParaRPr lang="en-US" sz="1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/>
            </a:p>
          </xdr:txBody>
        </xdr:sp>
      </mc:Fallback>
    </mc:AlternateContent>
    <xdr:clientData/>
  </xdr:oneCellAnchor>
  <xdr:oneCellAnchor>
    <xdr:from>
      <xdr:col>13</xdr:col>
      <xdr:colOff>95250</xdr:colOff>
      <xdr:row>13</xdr:row>
      <xdr:rowOff>139700</xdr:rowOff>
    </xdr:from>
    <xdr:ext cx="1204689" cy="26035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C00E9E2-A938-4EEA-B2E8-4ED6A33ADFE1}"/>
            </a:ext>
          </a:extLst>
        </xdr:cNvPr>
        <xdr:cNvSpPr txBox="1"/>
      </xdr:nvSpPr>
      <xdr:spPr>
        <a:xfrm>
          <a:off x="13671550" y="2787650"/>
          <a:ext cx="1204689" cy="2603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Z=(x-</a:t>
          </a:r>
          <a:r>
            <a:rPr lang="el-G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μ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)/(</a:t>
          </a:r>
          <a:r>
            <a:rPr lang="el-G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σ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/sqrt(n))</a:t>
          </a:r>
          <a:endParaRPr lang="en-US">
            <a:effectLst/>
          </a:endParaRPr>
        </a:p>
        <a:p>
          <a:endParaRPr lang="en-US" sz="1100"/>
        </a:p>
      </xdr:txBody>
    </xdr:sp>
    <xdr:clientData/>
  </xdr:oneCellAnchor>
  <xdr:twoCellAnchor editAs="oneCell">
    <xdr:from>
      <xdr:col>15</xdr:col>
      <xdr:colOff>292380</xdr:colOff>
      <xdr:row>12</xdr:row>
      <xdr:rowOff>79875</xdr:rowOff>
    </xdr:from>
    <xdr:to>
      <xdr:col>16</xdr:col>
      <xdr:colOff>139700</xdr:colOff>
      <xdr:row>14</xdr:row>
      <xdr:rowOff>171450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04593A3-47EF-49FF-9673-DBF479C47D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116580" y="2518275"/>
          <a:ext cx="456920" cy="510675"/>
        </a:xfrm>
        <a:prstGeom prst="rect">
          <a:avLst/>
        </a:prstGeom>
      </xdr:spPr>
    </xdr:pic>
    <xdr:clientData/>
  </xdr:twoCellAnchor>
  <xdr:oneCellAnchor>
    <xdr:from>
      <xdr:col>13</xdr:col>
      <xdr:colOff>76200</xdr:colOff>
      <xdr:row>12</xdr:row>
      <xdr:rowOff>120650</xdr:rowOff>
    </xdr:from>
    <xdr:ext cx="1204689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3BB4D2E5-018A-4613-BB81-5A1D5C71CAD9}"/>
            </a:ext>
          </a:extLst>
        </xdr:cNvPr>
        <xdr:cNvSpPr txBox="1"/>
      </xdr:nvSpPr>
      <xdr:spPr>
        <a:xfrm>
          <a:off x="13652500" y="2559050"/>
          <a:ext cx="12046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t=(x-</a:t>
          </a:r>
          <a:r>
            <a:rPr lang="el-GR" sz="1100"/>
            <a:t>μ</a:t>
          </a:r>
          <a:r>
            <a:rPr lang="en-US" sz="1100"/>
            <a:t>)/(s/sqrt(n))</a:t>
          </a:r>
        </a:p>
      </xdr:txBody>
    </xdr:sp>
    <xdr:clientData/>
  </xdr:oneCellAnchor>
  <xdr:oneCellAnchor>
    <xdr:from>
      <xdr:col>16</xdr:col>
      <xdr:colOff>184150</xdr:colOff>
      <xdr:row>20</xdr:row>
      <xdr:rowOff>63500</xdr:rowOff>
    </xdr:from>
    <xdr:ext cx="9151223" cy="3881319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8E436EE1-873A-4B4F-B0D9-F65055B9ADBA}"/>
            </a:ext>
          </a:extLst>
        </xdr:cNvPr>
        <xdr:cNvSpPr txBox="1"/>
      </xdr:nvSpPr>
      <xdr:spPr>
        <a:xfrm>
          <a:off x="17227550" y="4102100"/>
          <a:ext cx="9151223" cy="38813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Given a Z value, P, and significant value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Z=1.21 P&gt;0.9  α=0.05   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null hypothesis H0​: p=0.6, H1​: p&gt;0.6 Since the 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alternative hypothesis is H1​: p&gt;0.6​, this is a right​-tailed test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(If the symbol &lt; points to the left and the test is​ left-tailed, and if The symbol ≠ is used for a​ two-tailed test).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area to the left of z=1.21 is 0.8869.Subtract this area from 1 to find the 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area to the right of the test​ statistic</a:t>
          </a:r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First identify the decision criteria to make a decision to either reject or fail to reject H0 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for the​ P-value method.If ​P-value ≤ α​, reject H0. If ​P-value &gt; α​, fail to reject H0.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Compare the​ P-value, 0.113​, to α=0.05.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The​ P-value is greater than α.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 this information to determine whether to reject or fail to reject H0. 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Then state a final conclusion that addresses the original claim.</a:t>
          </a:r>
        </a:p>
        <a:p>
          <a:r>
            <a:rPr 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If P-value&gt;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α, Fail to rejectH0, </a:t>
          </a:r>
          <a:r>
            <a:rPr 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There is not sufficient evidence to support the claim that P&gt;0.9    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If P-value &lt;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α, Reject H0, :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There is sufficient evidence to support the claim that p≠0.255.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if P-value &lt;=</a:t>
          </a:r>
          <a:r>
            <a:rPr lang="el-G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Reject H0,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There is sufficient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evidence to suppot claim....</a:t>
          </a:r>
          <a:endParaRPr lang="el-GR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Pv&lt;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,Reject H0,There is sufficient evidence to warrant rejection of the claim that the mean pulse rate​ (in beats per​ minute) of the group of adult males is 75 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bpm.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If Pv&lt;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α,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Reject H0 because the​ P-value is less than or equal to </a:t>
          </a:r>
          <a:r>
            <a:rPr lang="el-G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l-GR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>
            <a:effectLst/>
          </a:endParaRPr>
        </a:p>
        <a:p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endParaRPr lang="en-US" sz="1100"/>
        </a:p>
      </xdr:txBody>
    </xdr:sp>
    <xdr:clientData/>
  </xdr:oneCellAnchor>
  <xdr:oneCellAnchor>
    <xdr:from>
      <xdr:col>13</xdr:col>
      <xdr:colOff>38100</xdr:colOff>
      <xdr:row>14</xdr:row>
      <xdr:rowOff>177800</xdr:rowOff>
    </xdr:from>
    <xdr:ext cx="11234679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9D405ABB-6540-408B-B378-43CC8BD4FBF6}"/>
            </a:ext>
          </a:extLst>
        </xdr:cNvPr>
        <xdr:cNvSpPr txBox="1"/>
      </xdr:nvSpPr>
      <xdr:spPr>
        <a:xfrm>
          <a:off x="13614400" y="3035300"/>
          <a:ext cx="112346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=IF(B1&gt;0,IF(ISBLANK(B9),IF(B13&gt;0,1-NORM.DIST(B13,0,1,1),NORM.DIST(B13,0,1,1)),IF(B8&gt;0,1-NORM.DIST(B8,0,1,1),NORM.DIST(B8,0,1,1))),IF(B14&gt;0,1-T.DIST(B14,B10-1,1),T.DIST(B14,B10-1,1)))</a:t>
          </a:r>
        </a:p>
      </xdr:txBody>
    </xdr:sp>
    <xdr:clientData/>
  </xdr:oneCellAnchor>
  <xdr:oneCellAnchor>
    <xdr:from>
      <xdr:col>13</xdr:col>
      <xdr:colOff>25400</xdr:colOff>
      <xdr:row>16</xdr:row>
      <xdr:rowOff>177800</xdr:rowOff>
    </xdr:from>
    <xdr:ext cx="13126414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F7A46B72-741E-4F34-B4DA-A088AF581894}"/>
            </a:ext>
          </a:extLst>
        </xdr:cNvPr>
        <xdr:cNvSpPr txBox="1"/>
      </xdr:nvSpPr>
      <xdr:spPr>
        <a:xfrm>
          <a:off x="13601700" y="3429000"/>
          <a:ext cx="131264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=IF(B1&gt;0,IF(ISBLANK(B9),IF(B13&gt;0,(1-NORM.DIST(B13,0,1,1))*2,(NORM.DIST(B13,0,1,1))*2),IF(B14&lt;0,(NORM.DIST(B14,0,1,1))*2,(1-NORM.DIST(B14,0,1,1))*2)),IF(B14&gt;0,(1-NORM.DIST(B14,0,1,1))*2,(NORM.DIST(B14,0,1,1))*2))</a:t>
          </a:r>
        </a:p>
      </xdr:txBody>
    </xdr:sp>
    <xdr:clientData/>
  </xdr:oneCellAnchor>
  <xdr:oneCellAnchor>
    <xdr:from>
      <xdr:col>18</xdr:col>
      <xdr:colOff>50800</xdr:colOff>
      <xdr:row>21</xdr:row>
      <xdr:rowOff>88901</xdr:rowOff>
    </xdr:from>
    <xdr:ext cx="4902199" cy="1047146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D7722001-200C-4B38-9D12-79F0C60DA56A}"/>
            </a:ext>
          </a:extLst>
        </xdr:cNvPr>
        <xdr:cNvSpPr txBox="1"/>
      </xdr:nvSpPr>
      <xdr:spPr>
        <a:xfrm>
          <a:off x="19342100" y="4311651"/>
          <a:ext cx="4902199" cy="10471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0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If P&gt;</a:t>
          </a:r>
          <a:r>
            <a:rPr 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α, Fail to rejectH0, </a:t>
          </a:r>
          <a:r>
            <a:rPr lang="en-US" sz="10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There is not sufficient evidence to support the claim that P&gt;0.9    .</a:t>
          </a:r>
          <a:endParaRPr lang="en-US" sz="1000">
            <a:effectLst/>
          </a:endParaRPr>
        </a:p>
        <a:p>
          <a:pPr eaLnBrk="1" fontAlgn="auto" latinLnBrk="0" hangingPunct="1"/>
          <a:r>
            <a:rPr lang="en-US" sz="10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If P&lt;</a:t>
          </a:r>
          <a:r>
            <a:rPr lang="en-US" sz="10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α, Reject H0, :</a:t>
          </a:r>
          <a:r>
            <a:rPr lang="en-US" sz="10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There is sufficient evidence to support the claim that p≠0.255.</a:t>
          </a:r>
          <a:endParaRPr lang="en-US" sz="1000">
            <a:effectLst/>
          </a:endParaRPr>
        </a:p>
        <a:p>
          <a:r>
            <a:rPr lang="en-US" sz="10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if P&lt;=</a:t>
          </a:r>
          <a:r>
            <a:rPr lang="el-GR" sz="10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en-US" sz="10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sz="10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0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Reject H0,</a:t>
          </a:r>
          <a:r>
            <a:rPr lang="en-US" sz="10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0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There is sufficient</a:t>
          </a:r>
          <a:r>
            <a:rPr lang="en-US" sz="10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evidence to suppot claim....</a:t>
          </a:r>
          <a:endParaRPr lang="en-US" sz="1000">
            <a:effectLst/>
          </a:endParaRPr>
        </a:p>
        <a:p>
          <a:r>
            <a:rPr lang="en-US" sz="10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If P&lt;</a:t>
          </a:r>
          <a:r>
            <a:rPr 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en-US" sz="10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,Reject H0,There is sufficient evidence to warrant rejection of the claim that</a:t>
          </a:r>
        </a:p>
        <a:p>
          <a:r>
            <a:rPr lang="en-US" sz="10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mean pulse rate​ (in beats per​ minute) of the group of adult males is 75 bpm.</a:t>
          </a:r>
          <a:endParaRPr lang="en-US" sz="1000">
            <a:effectLst/>
          </a:endParaRPr>
        </a:p>
        <a:p>
          <a:endParaRPr lang="en-US" sz="1100"/>
        </a:p>
      </xdr:txBody>
    </xdr:sp>
    <xdr:clientData/>
  </xdr:oneCellAnchor>
  <xdr:oneCellAnchor>
    <xdr:from>
      <xdr:col>0</xdr:col>
      <xdr:colOff>0</xdr:colOff>
      <xdr:row>19</xdr:row>
      <xdr:rowOff>177800</xdr:rowOff>
    </xdr:from>
    <xdr:ext cx="2809615" cy="436786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DDAA51AE-4018-4DFB-9939-3443AF3696C1}"/>
            </a:ext>
          </a:extLst>
        </xdr:cNvPr>
        <xdr:cNvSpPr txBox="1"/>
      </xdr:nvSpPr>
      <xdr:spPr>
        <a:xfrm>
          <a:off x="0" y="4032250"/>
          <a:ext cx="2809615" cy="436786"/>
        </a:xfrm>
        <a:prstGeom prst="rect">
          <a:avLst/>
        </a:prstGeom>
        <a:noFill/>
        <a:ln w="38100">
          <a:solidFill>
            <a:schemeClr val="accent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Type</a:t>
          </a:r>
          <a:r>
            <a:rPr lang="en-US" sz="1100" baseline="0"/>
            <a:t> I error, reject even though its true</a:t>
          </a:r>
        </a:p>
        <a:p>
          <a:r>
            <a:rPr lang="en-US" sz="1100" baseline="0"/>
            <a:t>Type II error fail to reject even though its false</a:t>
          </a:r>
          <a:endParaRPr lang="en-US" sz="1100"/>
        </a:p>
      </xdr:txBody>
    </xdr:sp>
    <xdr:clientData/>
  </xdr:oneCellAnchor>
  <xdr:oneCellAnchor>
    <xdr:from>
      <xdr:col>11</xdr:col>
      <xdr:colOff>908050</xdr:colOff>
      <xdr:row>8</xdr:row>
      <xdr:rowOff>146050</xdr:rowOff>
    </xdr:from>
    <xdr:ext cx="1558953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F9479C7E-376C-49C2-B7AA-E5EB12DDCC66}"/>
            </a:ext>
          </a:extLst>
        </xdr:cNvPr>
        <xdr:cNvSpPr txBox="1"/>
      </xdr:nvSpPr>
      <xdr:spPr>
        <a:xfrm>
          <a:off x="12966700" y="1771650"/>
          <a:ext cx="155895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= (d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(bar)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l-G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μ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)/(S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/sqrt(n))  </a:t>
          </a:r>
          <a:endParaRPr lang="en-US" sz="1100"/>
        </a:p>
      </xdr:txBody>
    </xdr:sp>
    <xdr:clientData/>
  </xdr:oneCellAnchor>
  <xdr:twoCellAnchor editAs="oneCell">
    <xdr:from>
      <xdr:col>11</xdr:col>
      <xdr:colOff>181132</xdr:colOff>
      <xdr:row>5</xdr:row>
      <xdr:rowOff>50801</xdr:rowOff>
    </xdr:from>
    <xdr:to>
      <xdr:col>13</xdr:col>
      <xdr:colOff>238811</xdr:colOff>
      <xdr:row>8</xdr:row>
      <xdr:rowOff>6350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33F1F1E3-2D9F-4C9C-9F62-F64D254A6C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347732" y="1047751"/>
          <a:ext cx="2305579" cy="584199"/>
        </a:xfrm>
        <a:prstGeom prst="rect">
          <a:avLst/>
        </a:prstGeom>
      </xdr:spPr>
    </xdr:pic>
    <xdr:clientData/>
  </xdr:twoCellAnchor>
  <xdr:oneCellAnchor>
    <xdr:from>
      <xdr:col>11</xdr:col>
      <xdr:colOff>25400</xdr:colOff>
      <xdr:row>16</xdr:row>
      <xdr:rowOff>152400</xdr:rowOff>
    </xdr:from>
    <xdr:ext cx="1249253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E28FE95D-4E50-4E92-8D64-83BBC7D311E0}"/>
            </a:ext>
          </a:extLst>
        </xdr:cNvPr>
        <xdr:cNvSpPr txBox="1"/>
      </xdr:nvSpPr>
      <xdr:spPr>
        <a:xfrm>
          <a:off x="12192000" y="3403600"/>
          <a:ext cx="124925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E= t</a:t>
          </a:r>
          <a:r>
            <a:rPr lang="el-GR" sz="1100" baseline="-25000"/>
            <a:t>α</a:t>
          </a:r>
          <a:r>
            <a:rPr lang="en-US" sz="1100" baseline="-25000"/>
            <a:t>/2</a:t>
          </a:r>
          <a:r>
            <a:rPr lang="en-US" sz="1100"/>
            <a:t>*(</a:t>
          </a:r>
          <a:r>
            <a:rPr lang="en-US" sz="1100" i="1"/>
            <a:t>S</a:t>
          </a:r>
          <a:r>
            <a:rPr lang="en-US" sz="1100" baseline="-25000"/>
            <a:t>d</a:t>
          </a:r>
          <a:r>
            <a:rPr lang="en-US" sz="1100"/>
            <a:t>/sqrt(n))</a:t>
          </a:r>
        </a:p>
      </xdr:txBody>
    </xdr:sp>
    <xdr:clientData/>
  </xdr:oneCellAnchor>
  <xdr:oneCellAnchor>
    <xdr:from>
      <xdr:col>11</xdr:col>
      <xdr:colOff>133350</xdr:colOff>
      <xdr:row>17</xdr:row>
      <xdr:rowOff>196850</xdr:rowOff>
    </xdr:from>
    <xdr:ext cx="311457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7D5D7896-025E-4228-A423-C9ABCA35D8D8}"/>
            </a:ext>
          </a:extLst>
        </xdr:cNvPr>
        <xdr:cNvSpPr txBox="1"/>
      </xdr:nvSpPr>
      <xdr:spPr>
        <a:xfrm>
          <a:off x="12299950" y="3632200"/>
          <a:ext cx="31145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if this</a:t>
          </a:r>
          <a:r>
            <a:rPr lang="en-US" sz="1100" baseline="0"/>
            <a:t> confidence interval has the 0 we fail to reject</a:t>
          </a:r>
          <a:endParaRPr lang="en-US" sz="1100"/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282575</xdr:colOff>
      <xdr:row>2</xdr:row>
      <xdr:rowOff>9525</xdr:rowOff>
    </xdr:from>
    <xdr:to>
      <xdr:col>9</xdr:col>
      <xdr:colOff>587375</xdr:colOff>
      <xdr:row>16</xdr:row>
      <xdr:rowOff>174625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9C104E-D3B5-4867-870D-B0CE337848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18</xdr:row>
      <xdr:rowOff>0</xdr:rowOff>
    </xdr:from>
    <xdr:to>
      <xdr:col>3</xdr:col>
      <xdr:colOff>546100</xdr:colOff>
      <xdr:row>23</xdr:row>
      <xdr:rowOff>78740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8D19D29-6AC6-4D07-A1BD-CC38836935C5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314700"/>
          <a:ext cx="2533650" cy="999490"/>
        </a:xfrm>
        <a:prstGeom prst="rect">
          <a:avLst/>
        </a:prstGeom>
      </xdr:spPr>
    </xdr:pic>
    <xdr:clientData/>
  </xdr:twoCellAnchor>
  <xdr:twoCellAnchor editAs="oneCell">
    <xdr:from>
      <xdr:col>4</xdr:col>
      <xdr:colOff>63500</xdr:colOff>
      <xdr:row>17</xdr:row>
      <xdr:rowOff>146050</xdr:rowOff>
    </xdr:from>
    <xdr:to>
      <xdr:col>7</xdr:col>
      <xdr:colOff>514350</xdr:colOff>
      <xdr:row>22</xdr:row>
      <xdr:rowOff>117475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4A27B94-6900-4F43-A3F5-D84644CAC6DE}"/>
            </a:ext>
          </a:extLst>
        </xdr:cNvPr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0650" y="3276600"/>
          <a:ext cx="2279650" cy="892175"/>
        </a:xfrm>
        <a:prstGeom prst="rect">
          <a:avLst/>
        </a:prstGeom>
      </xdr:spPr>
    </xdr:pic>
    <xdr:clientData/>
  </xdr:twoCellAnchor>
  <xdr:twoCellAnchor>
    <xdr:from>
      <xdr:col>2</xdr:col>
      <xdr:colOff>282575</xdr:colOff>
      <xdr:row>5</xdr:row>
      <xdr:rowOff>130175</xdr:rowOff>
    </xdr:from>
    <xdr:to>
      <xdr:col>9</xdr:col>
      <xdr:colOff>587375</xdr:colOff>
      <xdr:row>20</xdr:row>
      <xdr:rowOff>111125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0F899F0-DA62-4124-9AC9-C6254939F4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15875</xdr:colOff>
      <xdr:row>27</xdr:row>
      <xdr:rowOff>85725</xdr:rowOff>
    </xdr:from>
    <xdr:to>
      <xdr:col>8</xdr:col>
      <xdr:colOff>501650</xdr:colOff>
      <xdr:row>40</xdr:row>
      <xdr:rowOff>82550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11D27A9-2582-4B69-B12D-A8E65E07F2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581025</xdr:colOff>
      <xdr:row>40</xdr:row>
      <xdr:rowOff>130175</xdr:rowOff>
    </xdr:from>
    <xdr:to>
      <xdr:col>8</xdr:col>
      <xdr:colOff>533400</xdr:colOff>
      <xdr:row>53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9A71DEA-695E-46A2-B0BD-1A1BE89157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</xdr:col>
      <xdr:colOff>168275</xdr:colOff>
      <xdr:row>49</xdr:row>
      <xdr:rowOff>73025</xdr:rowOff>
    </xdr:from>
    <xdr:to>
      <xdr:col>8</xdr:col>
      <xdr:colOff>228600</xdr:colOff>
      <xdr:row>61</xdr:row>
      <xdr:rowOff>44450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68814A2-EA20-46F5-8442-0154A1F987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</xdr:col>
      <xdr:colOff>47625</xdr:colOff>
      <xdr:row>57</xdr:row>
      <xdr:rowOff>111125</xdr:rowOff>
    </xdr:from>
    <xdr:to>
      <xdr:col>7</xdr:col>
      <xdr:colOff>228600</xdr:colOff>
      <xdr:row>66</xdr:row>
      <xdr:rowOff>165100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8E55D4D-037C-497F-8CE8-21746BCBA9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</xdr:col>
      <xdr:colOff>219075</xdr:colOff>
      <xdr:row>69</xdr:row>
      <xdr:rowOff>34925</xdr:rowOff>
    </xdr:from>
    <xdr:to>
      <xdr:col>8</xdr:col>
      <xdr:colOff>69850</xdr:colOff>
      <xdr:row>78</xdr:row>
      <xdr:rowOff>127000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FA46A55-648B-4AF2-AB66-FF197D1A64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</xdr:col>
      <xdr:colOff>244475</xdr:colOff>
      <xdr:row>80</xdr:row>
      <xdr:rowOff>28575</xdr:rowOff>
    </xdr:from>
    <xdr:to>
      <xdr:col>9</xdr:col>
      <xdr:colOff>381000</xdr:colOff>
      <xdr:row>92</xdr:row>
      <xdr:rowOff>127000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36A93AD-D82A-46EE-8386-5A9B8C0B53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158750</xdr:colOff>
      <xdr:row>0</xdr:row>
      <xdr:rowOff>92075</xdr:rowOff>
    </xdr:from>
    <xdr:to>
      <xdr:col>9</xdr:col>
      <xdr:colOff>28574</xdr:colOff>
      <xdr:row>8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8BA71D-3C8A-4348-837A-C16AA9164F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165099</xdr:colOff>
      <xdr:row>8</xdr:row>
      <xdr:rowOff>47625</xdr:rowOff>
    </xdr:from>
    <xdr:to>
      <xdr:col>9</xdr:col>
      <xdr:colOff>50800</xdr:colOff>
      <xdr:row>14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C52E9C-24B3-4F64-99D8-281FC69AF6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111125</xdr:colOff>
      <xdr:row>17</xdr:row>
      <xdr:rowOff>22225</xdr:rowOff>
    </xdr:from>
    <xdr:to>
      <xdr:col>7</xdr:col>
      <xdr:colOff>431800</xdr:colOff>
      <xdr:row>27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C2062E0-85B1-42DA-B975-8EC26791B2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44450</xdr:colOff>
      <xdr:row>33</xdr:row>
      <xdr:rowOff>69850</xdr:rowOff>
    </xdr:from>
    <xdr:to>
      <xdr:col>4</xdr:col>
      <xdr:colOff>139700</xdr:colOff>
      <xdr:row>38</xdr:row>
      <xdr:rowOff>148590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ACC58B8-2EE9-4929-B0CB-FF3B9A80D302}"/>
            </a:ext>
          </a:extLst>
        </xdr:cNvPr>
        <xdr:cNvPicPr/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450" y="6146800"/>
          <a:ext cx="2533650" cy="999490"/>
        </a:xfrm>
        <a:prstGeom prst="rect">
          <a:avLst/>
        </a:prstGeom>
      </xdr:spPr>
    </xdr:pic>
    <xdr:clientData/>
  </xdr:twoCellAnchor>
  <xdr:twoCellAnchor>
    <xdr:from>
      <xdr:col>3</xdr:col>
      <xdr:colOff>400050</xdr:colOff>
      <xdr:row>27</xdr:row>
      <xdr:rowOff>44450</xdr:rowOff>
    </xdr:from>
    <xdr:to>
      <xdr:col>9</xdr:col>
      <xdr:colOff>371475</xdr:colOff>
      <xdr:row>36</xdr:row>
      <xdr:rowOff>66675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0C9EE98-320C-4525-B9DE-653BBEAC46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247650</xdr:colOff>
      <xdr:row>0</xdr:row>
      <xdr:rowOff>76200</xdr:rowOff>
    </xdr:from>
    <xdr:to>
      <xdr:col>15</xdr:col>
      <xdr:colOff>13113</xdr:colOff>
      <xdr:row>20</xdr:row>
      <xdr:rowOff>72915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37F0966-BF73-44EF-8C65-B6212BD885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6450" y="76200"/>
          <a:ext cx="7080663" cy="3679715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384175</xdr:colOff>
      <xdr:row>7</xdr:row>
      <xdr:rowOff>15875</xdr:rowOff>
    </xdr:from>
    <xdr:to>
      <xdr:col>7</xdr:col>
      <xdr:colOff>444500</xdr:colOff>
      <xdr:row>17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1195B6-58BC-4C14-A2C1-14E745F8FF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600075</xdr:colOff>
      <xdr:row>21</xdr:row>
      <xdr:rowOff>6350</xdr:rowOff>
    </xdr:from>
    <xdr:to>
      <xdr:col>8</xdr:col>
      <xdr:colOff>298450</xdr:colOff>
      <xdr:row>32</xdr:row>
      <xdr:rowOff>120650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B388A4C-CC23-4434-8058-59B239D029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12699</xdr:colOff>
      <xdr:row>33</xdr:row>
      <xdr:rowOff>168275</xdr:rowOff>
    </xdr:from>
    <xdr:to>
      <xdr:col>9</xdr:col>
      <xdr:colOff>269874</xdr:colOff>
      <xdr:row>45</xdr:row>
      <xdr:rowOff>31750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6DE648-F6F8-4959-A639-0A0F300FC5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304800</xdr:colOff>
      <xdr:row>11</xdr:row>
      <xdr:rowOff>69850</xdr:rowOff>
    </xdr:from>
    <xdr:to>
      <xdr:col>10</xdr:col>
      <xdr:colOff>552450</xdr:colOff>
      <xdr:row>15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00FB51-3FEC-4E2A-8702-7DA67DDE4F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88900</xdr:colOff>
      <xdr:row>32</xdr:row>
      <xdr:rowOff>88900</xdr:rowOff>
    </xdr:from>
    <xdr:to>
      <xdr:col>10</xdr:col>
      <xdr:colOff>336550</xdr:colOff>
      <xdr:row>42</xdr:row>
      <xdr:rowOff>82550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2435B9B-5C3F-4A06-A4A9-2E0C58B5DC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247650</xdr:colOff>
      <xdr:row>11</xdr:row>
      <xdr:rowOff>1111250</xdr:rowOff>
    </xdr:from>
    <xdr:to>
      <xdr:col>12</xdr:col>
      <xdr:colOff>247650</xdr:colOff>
      <xdr:row>20</xdr:row>
      <xdr:rowOff>177800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43CA349-7FB8-47E3-BB53-66AC28E0B8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50</xdr:row>
      <xdr:rowOff>0</xdr:rowOff>
    </xdr:from>
    <xdr:to>
      <xdr:col>10</xdr:col>
      <xdr:colOff>514439</xdr:colOff>
      <xdr:row>52</xdr:row>
      <xdr:rowOff>6369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559563D-CF63-4DE2-A798-223BF84F00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75350" y="9207500"/>
          <a:ext cx="1733639" cy="37466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88</xdr:row>
      <xdr:rowOff>177800</xdr:rowOff>
    </xdr:from>
    <xdr:to>
      <xdr:col>7</xdr:col>
      <xdr:colOff>584315</xdr:colOff>
      <xdr:row>91</xdr:row>
      <xdr:rowOff>101624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2AD82BE-23A4-4369-856A-492B8EBFA9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14750" y="16567150"/>
          <a:ext cx="2235315" cy="47627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</xdr:row>
      <xdr:rowOff>177800</xdr:rowOff>
    </xdr:from>
    <xdr:to>
      <xdr:col>7</xdr:col>
      <xdr:colOff>584315</xdr:colOff>
      <xdr:row>10</xdr:row>
      <xdr:rowOff>101624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4F4C5C6-A2D7-4771-B245-E05F16B56E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14750" y="1466850"/>
          <a:ext cx="2235315" cy="476274"/>
        </a:xfrm>
        <a:prstGeom prst="rect">
          <a:avLst/>
        </a:prstGeom>
      </xdr:spPr>
    </xdr:pic>
    <xdr:clientData/>
  </xdr:twoCellAnchor>
  <xdr:twoCellAnchor editAs="oneCell">
    <xdr:from>
      <xdr:col>7</xdr:col>
      <xdr:colOff>374650</xdr:colOff>
      <xdr:row>55</xdr:row>
      <xdr:rowOff>146050</xdr:rowOff>
    </xdr:from>
    <xdr:to>
      <xdr:col>9</xdr:col>
      <xdr:colOff>603324</xdr:colOff>
      <xdr:row>59</xdr:row>
      <xdr:rowOff>19081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8FED9C5-B530-41AF-B47A-4BB8F1F974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40400" y="10274300"/>
          <a:ext cx="1447874" cy="609631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190500</xdr:colOff>
      <xdr:row>0</xdr:row>
      <xdr:rowOff>0</xdr:rowOff>
    </xdr:from>
    <xdr:to>
      <xdr:col>15</xdr:col>
      <xdr:colOff>19050</xdr:colOff>
      <xdr:row>13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B5698C-B5C1-4EE4-97A0-7DAEA73ABC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H2%20HW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group%20work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ection_2_1_InternetUse_Data_FA16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2 Histogram"/>
    </sheetNames>
    <sheetDataSet>
      <sheetData sheetId="0">
        <row r="15">
          <cell r="D15">
            <v>20.9</v>
          </cell>
          <cell r="E15">
            <v>3</v>
          </cell>
        </row>
        <row r="16">
          <cell r="D16">
            <v>26.9</v>
          </cell>
          <cell r="E16">
            <v>8</v>
          </cell>
        </row>
        <row r="17">
          <cell r="D17">
            <v>32.9</v>
          </cell>
          <cell r="E17">
            <v>5</v>
          </cell>
        </row>
        <row r="18">
          <cell r="D18">
            <v>38.9</v>
          </cell>
          <cell r="E18">
            <v>2</v>
          </cell>
        </row>
        <row r="19">
          <cell r="D19">
            <v>44.9</v>
          </cell>
          <cell r="E19">
            <v>2</v>
          </cell>
        </row>
        <row r="20">
          <cell r="D20" t="str">
            <v>More</v>
          </cell>
          <cell r="E20">
            <v>0</v>
          </cell>
        </row>
        <row r="34">
          <cell r="D34">
            <v>1.47</v>
          </cell>
          <cell r="E34">
            <v>4</v>
          </cell>
        </row>
        <row r="35">
          <cell r="D35">
            <v>1.48</v>
          </cell>
          <cell r="E35">
            <v>5</v>
          </cell>
        </row>
        <row r="36">
          <cell r="D36">
            <v>1.49</v>
          </cell>
          <cell r="E36">
            <v>10</v>
          </cell>
        </row>
        <row r="37">
          <cell r="D37">
            <v>1.5</v>
          </cell>
          <cell r="E37">
            <v>11</v>
          </cell>
        </row>
        <row r="38">
          <cell r="D38">
            <v>1.51</v>
          </cell>
          <cell r="E38">
            <v>2</v>
          </cell>
        </row>
        <row r="39">
          <cell r="D39" t="str">
            <v>More</v>
          </cell>
        </row>
        <row r="51">
          <cell r="D51">
            <v>1.48</v>
          </cell>
          <cell r="E51">
            <v>8</v>
          </cell>
        </row>
        <row r="52">
          <cell r="D52">
            <v>1.49</v>
          </cell>
          <cell r="E52">
            <v>8</v>
          </cell>
        </row>
        <row r="53">
          <cell r="D53">
            <v>1.5</v>
          </cell>
          <cell r="E53">
            <v>20</v>
          </cell>
        </row>
        <row r="54">
          <cell r="D54">
            <v>1.51</v>
          </cell>
          <cell r="E54">
            <v>20</v>
          </cell>
        </row>
        <row r="55">
          <cell r="D55" t="str">
            <v>More</v>
          </cell>
          <cell r="E55">
            <v>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ards w_o Defects"/>
      <sheetName val="Binom .dist.range prac."/>
      <sheetName val="180 trials of boards"/>
      <sheetName val="p(x)~xp(x)~"/>
    </sheetNames>
    <sheetDataSet>
      <sheetData sheetId="0">
        <row r="2">
          <cell r="A2">
            <v>0</v>
          </cell>
          <cell r="B2">
            <v>1.5407021574586395E-14</v>
          </cell>
        </row>
        <row r="3">
          <cell r="A3">
            <v>1</v>
          </cell>
          <cell r="B3">
            <v>1.6947723732045015E-12</v>
          </cell>
        </row>
        <row r="4">
          <cell r="A4">
            <v>2</v>
          </cell>
          <cell r="B4">
            <v>8.699831515783074E-11</v>
          </cell>
        </row>
        <row r="5">
          <cell r="A5">
            <v>3</v>
          </cell>
          <cell r="B5">
            <v>2.7646131261266301E-9</v>
          </cell>
        </row>
        <row r="6">
          <cell r="A6">
            <v>4</v>
          </cell>
          <cell r="B6">
            <v>6.0821488774785863E-8</v>
          </cell>
        </row>
        <row r="7">
          <cell r="A7">
            <v>5</v>
          </cell>
          <cell r="B7">
            <v>9.8125335223321084E-7</v>
          </cell>
        </row>
        <row r="8">
          <cell r="A8">
            <v>6</v>
          </cell>
          <cell r="B8">
            <v>1.1993096527294816E-5</v>
          </cell>
        </row>
        <row r="9">
          <cell r="A9">
            <v>7</v>
          </cell>
          <cell r="B9">
            <v>1.130777672573512E-4</v>
          </cell>
        </row>
        <row r="10">
          <cell r="A10">
            <v>8</v>
          </cell>
          <cell r="B10">
            <v>8.2923695988724208E-4</v>
          </cell>
        </row>
        <row r="11">
          <cell r="A11">
            <v>9</v>
          </cell>
          <cell r="B11">
            <v>4.7297219193568512E-3</v>
          </cell>
        </row>
        <row r="12">
          <cell r="A12">
            <v>10</v>
          </cell>
          <cell r="B12">
            <v>2.0810776445170192E-2</v>
          </cell>
        </row>
        <row r="13">
          <cell r="A13">
            <v>11</v>
          </cell>
          <cell r="B13">
            <v>6.9369254817233925E-2</v>
          </cell>
        </row>
        <row r="14">
          <cell r="A14">
            <v>12</v>
          </cell>
          <cell r="B14">
            <v>0.16956928955323847</v>
          </cell>
        </row>
        <row r="15">
          <cell r="A15">
            <v>13</v>
          </cell>
          <cell r="B15">
            <v>0.28696341309009588</v>
          </cell>
        </row>
        <row r="16">
          <cell r="A16">
            <v>14</v>
          </cell>
          <cell r="B16">
            <v>0.30062833752295764</v>
          </cell>
        </row>
        <row r="17">
          <cell r="A17">
            <v>15</v>
          </cell>
          <cell r="B17">
            <v>0.14697385390011264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ernetuse"/>
    </sheetNames>
    <sheetDataSet>
      <sheetData sheetId="0">
        <row r="7">
          <cell r="E7" t="str">
            <v>7 to 20</v>
          </cell>
          <cell r="F7">
            <v>8</v>
          </cell>
        </row>
        <row r="8">
          <cell r="E8" t="str">
            <v>21 to 34</v>
          </cell>
          <cell r="F8">
            <v>12</v>
          </cell>
        </row>
        <row r="9">
          <cell r="E9" t="str">
            <v>35 to 48</v>
          </cell>
          <cell r="F9">
            <v>12</v>
          </cell>
        </row>
        <row r="10">
          <cell r="E10" t="str">
            <v>49 to 62</v>
          </cell>
          <cell r="F10">
            <v>10</v>
          </cell>
        </row>
        <row r="11">
          <cell r="E11" t="str">
            <v>63 to 76</v>
          </cell>
          <cell r="F11">
            <v>4</v>
          </cell>
        </row>
        <row r="12">
          <cell r="E12" t="str">
            <v>77 to 90</v>
          </cell>
          <cell r="F12">
            <v>4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evin Foley" id="{B1CC9E99-8178-4F60-A02C-ABBDF3B1FBB1}" userId="Kevin Foley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4" dT="2021-02-23T16:59:06.82" personId="{B1CC9E99-8178-4F60-A02C-ABBDF3B1FBB1}" id="{20FF8FCE-2429-4238-9A57-BC1AF5D6A482}">
    <text>keep as original mean value</text>
  </threadedComment>
  <threadedComment ref="C4" dT="2021-02-23T16:59:06.82" personId="{B1CC9E99-8178-4F60-A02C-ABBDF3B1FBB1}" id="{DFB2CC96-3C27-446D-A8E6-3A4519FCCE12}">
    <text>keep as original mean value</text>
  </threadedComment>
  <threadedComment ref="A6" dT="2021-02-23T02:26:13.17" personId="{B1CC9E99-8178-4F60-A02C-ABBDF3B1FBB1}" id="{58DC7021-529C-4325-862F-B8B8436C2247}">
    <text>input % converted to dec. or probability to return X.  down in the P(x&lt;a. x&gt;a) percentile slots below</text>
  </threadedComment>
  <threadedComment ref="K7" dT="2021-02-23T16:59:06.82" personId="{B1CC9E99-8178-4F60-A02C-ABBDF3B1FBB1}" id="{51D6AD71-DACD-43A7-BCD4-6DBFA0103C1A}">
    <text>keep as original mean value</text>
  </threadedComment>
  <threadedComment ref="L7" dT="2021-02-23T16:59:06.82" personId="{B1CC9E99-8178-4F60-A02C-ABBDF3B1FBB1}" id="{4D68BAB2-46A1-49C6-8E10-C50B3FBDE3FD}">
    <text>keep as original mean value</text>
  </threadedComment>
  <threadedComment ref="M7" dT="2021-02-23T16:59:06.82" personId="{B1CC9E99-8178-4F60-A02C-ABBDF3B1FBB1}" id="{9B865D56-BE72-4D57-9096-51FB32EBD5D4}">
    <text>keep as original mean value</text>
  </threadedComment>
  <threadedComment ref="L8" dT="2021-02-23T14:54:21.31" personId="{B1CC9E99-8178-4F60-A02C-ABBDF3B1FBB1}" id="{67E06477-0E1E-4B5B-8DBD-A868498C22CC}">
    <text>this is the sample means, plug value into sd to calculate probability for that quanitity</text>
  </threadedComment>
  <threadedComment ref="M8" dT="2021-02-23T14:54:21.31" personId="{B1CC9E99-8178-4F60-A02C-ABBDF3B1FBB1}" id="{646748A1-CAE5-48B8-B583-0C2B723FD1A8}">
    <text>this is the sample means, plug value into sd to calculate probability for that quanitity</text>
  </threadedComment>
  <threadedComment ref="J9" dT="2021-02-23T02:26:13.17" personId="{B1CC9E99-8178-4F60-A02C-ABBDF3B1FBB1}" id="{FF44026A-8F60-4E23-9DCF-CBEE55239366}">
    <text>input % converted to dec. or probability to return X.  down in the P(x&lt;a. x&gt;a) percentile slots below</text>
  </threadedComment>
  <threadedComment ref="A10" dT="2021-02-22T15:32:24.65" personId="{B1CC9E99-8178-4F60-A02C-ABBDF3B1FBB1}" id="{800968F7-88F1-49E9-BD63-31C9DF6B62A4}">
    <text>the higher endpoint comes first then the lower endpoint second</text>
  </threadedComment>
  <threadedComment ref="A11" dT="2021-02-22T15:54:37.82" personId="{B1CC9E99-8178-4F60-A02C-ABBDF3B1FBB1}" id="{2BE4D086-23AF-4AEC-B311-F34F5542B598}">
    <text>1 SD from mean</text>
  </threadedComment>
  <threadedComment ref="A13" dT="2021-02-22T15:51:53.12" personId="{B1CC9E99-8178-4F60-A02C-ABBDF3B1FBB1}" id="{CC0F03A0-23CE-47C0-BD14-8441DD4D947A}">
    <text>P(x&lt;a)=.05 w/2 σ</text>
  </threadedComment>
  <threadedComment ref="J13" dT="2021-02-22T15:32:24.65" personId="{B1CC9E99-8178-4F60-A02C-ABBDF3B1FBB1}" id="{EDA16E90-D5BE-404C-BFAF-3D950D5FB260}">
    <text>the higher endpoint comes first then the lower endpoint second</text>
  </threadedComment>
  <threadedComment ref="L13" dT="2021-03-02T20:02:21.81" personId="{B1CC9E99-8178-4F60-A02C-ABBDF3B1FBB1}" id="{D4362A6C-CE37-4A58-8FA5-4462EAE2F637}">
    <text>P of 16 females with heart between
 69~83 bpm</text>
  </threadedComment>
  <threadedComment ref="M13" dT="2021-03-02T20:02:21.81" personId="{B1CC9E99-8178-4F60-A02C-ABBDF3B1FBB1}" id="{5644F893-DBE2-43E3-94CC-6B45A7B3241B}">
    <text>P of 16 females with heart between
 69~83 bpm</text>
  </threadedComment>
  <threadedComment ref="A14" dT="2021-02-22T15:52:06.75" personId="{B1CC9E99-8178-4F60-A02C-ABBDF3B1FBB1}" id="{8EDEBC76-D0D8-44C7-AFAF-B68A41FEF890}">
    <text>p(x&gt;a)=.95 w/ 2 σ</text>
  </threadedComment>
  <threadedComment ref="J14" dT="2021-02-22T15:54:37.82" personId="{B1CC9E99-8178-4F60-A02C-ABBDF3B1FBB1}" id="{D7E062E8-7720-4D7C-A404-0B88FF2FEA60}">
    <text>1 SD from mean</text>
  </threadedComment>
  <threadedComment ref="B15" dT="2021-02-22T20:29:57.96" personId="{B1CC9E99-8178-4F60-A02C-ABBDF3B1FBB1}" id="{ACC735A1-B517-45E8-9825-A5567BC9395D}">
    <text>can be lower limit output</text>
  </threadedComment>
  <threadedComment ref="C15" dT="2021-02-22T20:29:57.96" personId="{B1CC9E99-8178-4F60-A02C-ABBDF3B1FBB1}" id="{139B0120-833F-48DA-9395-95E054522D17}">
    <text>can be lower limit output</text>
  </threadedComment>
  <threadedComment ref="J16" dT="2021-02-22T15:51:53.12" personId="{B1CC9E99-8178-4F60-A02C-ABBDF3B1FBB1}" id="{4E5C5E11-8F69-4C3C-BC8D-54FEFD4708ED}">
    <text>P(x&lt;a)=.05 w/2 σ</text>
  </threadedComment>
  <threadedComment ref="B17" dT="2021-02-23T14:54:21.31" personId="{B1CC9E99-8178-4F60-A02C-ABBDF3B1FBB1}" id="{AF02B329-4022-4085-A1BA-1FF2B4AC57B7}">
    <text>this is the sample means, plug value into sd to calculate probability for that quanitity</text>
  </threadedComment>
  <threadedComment ref="C17" dT="2021-02-23T14:54:21.31" personId="{B1CC9E99-8178-4F60-A02C-ABBDF3B1FBB1}" id="{02540206-AECF-462B-96F9-0CA852D42065}">
    <text>this is the sample means, plug value into sd to calculate probability for that quanitity</text>
  </threadedComment>
  <threadedComment ref="J17" dT="2021-02-22T15:52:06.75" personId="{B1CC9E99-8178-4F60-A02C-ABBDF3B1FBB1}" id="{16767615-A9EE-4167-ADCE-E5191A01AB3D}">
    <text>p(x&gt;a)=.95 w/ 2 σ</text>
  </threadedComment>
  <threadedComment ref="K18" dT="2021-02-22T20:29:57.96" personId="{B1CC9E99-8178-4F60-A02C-ABBDF3B1FBB1}" id="{59727208-12C5-49F0-A3B0-82BD65DBCB37}">
    <text>can be lower limit output</text>
  </threadedComment>
  <threadedComment ref="L18" dT="2021-02-22T20:29:57.96" personId="{B1CC9E99-8178-4F60-A02C-ABBDF3B1FBB1}" id="{BCDF55C8-CE66-4A7D-BD04-B282701702E0}">
    <text>can be lower limit output</text>
  </threadedComment>
  <threadedComment ref="M18" dT="2021-02-22T20:29:57.96" personId="{B1CC9E99-8178-4F60-A02C-ABBDF3B1FBB1}" id="{D608184E-0111-4D9B-90E5-42EAC9A2CE1E}">
    <text>can be lower limit output</text>
  </threadedComment>
  <threadedComment ref="K20" dT="2021-02-23T14:54:21.31" personId="{B1CC9E99-8178-4F60-A02C-ABBDF3B1FBB1}" id="{3855E543-2A3F-41E7-8338-821C4CECFBCE}">
    <text>this is the sample means, plug value into sd to calculate probability for that quanitity</text>
  </threadedComment>
  <threadedComment ref="L20" dT="2021-02-23T14:54:21.31" personId="{B1CC9E99-8178-4F60-A02C-ABBDF3B1FBB1}" id="{DF54F054-8E41-416D-9D93-783C51C7E045}">
    <text>this is the sample means, plug value into sd to calculate probability for that quanitity</text>
  </threadedComment>
  <threadedComment ref="M20" dT="2021-02-23T14:54:21.31" personId="{B1CC9E99-8178-4F60-A02C-ABBDF3B1FBB1}" id="{8E030F4D-EBA6-4AD5-ABA6-8ED10052228D}">
    <text>this is the sample means, plug value into sd to calculate probability for that quanitity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4" dT="2021-04-01T17:28:22.84" personId="{B1CC9E99-8178-4F60-A02C-ABBDF3B1FBB1}" id="{7E2B1C63-2416-424A-8113-F6F807AC10E1}">
    <text>σ not known and normally distributed population or σ not known and n&gt;30</text>
  </threadedComment>
  <threadedComment ref="A15" dT="2021-04-01T17:27:29.86" personId="{B1CC9E99-8178-4F60-A02C-ABBDF3B1FBB1}" id="{86719DB1-3007-4BE4-9E1F-6EE01D49646E}">
    <text>σ known and normally distributed population or σ known and n&gt;30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4" dT="2021-04-01T17:28:22.84" personId="{B1CC9E99-8178-4F60-A02C-ABBDF3B1FBB1}" id="{E60799BF-B373-4358-832D-7A41DE93E111}">
    <text>σ not known and normally distributed population or σ not known and n&gt;30</text>
  </threadedComment>
  <threadedComment ref="A15" dT="2021-04-01T17:27:29.86" personId="{B1CC9E99-8178-4F60-A02C-ABBDF3B1FBB1}" id="{F0AA58B7-900B-4D89-BE8B-E45927165207}">
    <text>σ known and normally distributed population or σ known and n&gt;30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14" dT="2021-04-01T17:28:22.84" personId="{B1CC9E99-8178-4F60-A02C-ABBDF3B1FBB1}" id="{3B56B6AF-5760-4DEE-9E71-C30010874380}">
    <text>σ not known and normally distributed population or σ not known and n&gt;30</text>
  </threadedComment>
  <threadedComment ref="A15" dT="2021-04-01T17:27:29.86" personId="{B1CC9E99-8178-4F60-A02C-ABBDF3B1FBB1}" id="{52EB262F-5357-4E44-B85B-61387B983369}">
    <text>σ known and normally distributed population or σ known and n&gt;30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A10" dT="2021-02-18T20:29:14.47" personId="{B1CC9E99-8178-4F60-A02C-ABBDF3B1FBB1}" id="{8FE48D17-AA0F-4B4E-8A08-615E14E30A3E}">
    <text>2nd odds net profit</text>
  </threadedComment>
  <threadedComment ref="B10" dT="2021-02-18T20:31:56.52" personId="{B1CC9E99-8178-4F60-A02C-ABBDF3B1FBB1}" id="{BA69B656-5C22-4548-BD2B-EEA65F5D3907}">
    <text>initial bet amount</text>
  </threadedComment>
  <threadedComment ref="C29" dT="2021-02-18T17:54:12.56" personId="{B1CC9E99-8178-4F60-A02C-ABBDF3B1FBB1}" id="{EA447B8E-62F6-4DDC-9292-3713EEB1AB97}">
    <text>=n*p   this is the MEAN</text>
  </threadedComment>
  <threadedComment ref="E29" dT="2021-02-18T17:53:36.63" personId="{B1CC9E99-8178-4F60-A02C-ABBDF3B1FBB1}" id="{161257F1-4A0F-4FFD-8ED0-C985459A7CC4}">
    <text>This is the answer for the desired parameter</text>
  </threadedComment>
  <threadedComment ref="E30" dT="2021-02-18T20:34:12.45" personId="{B1CC9E99-8178-4F60-A02C-ABBDF3B1FBB1}" id="{60623392-D5F4-4506-A870-4FD8EB1E729D}">
    <text>binomial Distr combined</text>
  </threadedComment>
  <threadedComment ref="C36" dT="2021-02-18T17:54:12.56" personId="{B1CC9E99-8178-4F60-A02C-ABBDF3B1FBB1}" id="{681BB3FC-43BD-478C-A9D4-1EC3EE0E803E}">
    <text>=n*p   this is the MEAN</text>
  </threadedComment>
  <threadedComment ref="E36" dT="2021-02-18T17:53:36.63" personId="{B1CC9E99-8178-4F60-A02C-ABBDF3B1FBB1}" id="{1D949DEE-9184-4EE3-BFE2-91D26E657CA2}">
    <text>This is the answer for the desired parameter</text>
  </threadedComment>
  <threadedComment ref="E37" dT="2021-02-18T20:34:12.45" personId="{B1CC9E99-8178-4F60-A02C-ABBDF3B1FBB1}" id="{2F04235E-A966-476E-83F2-0EC58693F917}">
    <text>binomial Distr combined</text>
  </threadedComment>
  <threadedComment ref="D43" dT="2021-02-18T20:42:39.10" personId="{B1CC9E99-8178-4F60-A02C-ABBDF3B1FBB1}" id="{D904739D-09FE-4AF5-B4FF-65F9056CCDCD}">
    <text>Sum of 0~3</text>
  </threadedComment>
  <threadedComment ref="D44" dT="2021-02-18T20:42:23.71" personId="{B1CC9E99-8178-4F60-A02C-ABBDF3B1FBB1}" id="{14171D8A-C166-444F-BC68-11CF1A15C531}">
    <text>this is the range 0~3  BInomial prob.</text>
  </threadedComment>
  <threadedComment ref="E66" dT="2021-02-18T20:50:50.74" personId="{B1CC9E99-8178-4F60-A02C-ABBDF3B1FBB1}" id="{710C37E4-44A0-4157-B25C-8CD4B0281366}">
    <text>probability that the exct number believe in x</text>
  </threadedComment>
  <threadedComment ref="D67" dT="2021-02-18T20:42:39.10" personId="{B1CC9E99-8178-4F60-A02C-ABBDF3B1FBB1}" id="{AB9DFF0B-5A5D-4E80-9F68-D23E5C71300D}">
    <text>Sum of 0,1 Check the Range numbers to make sure they are correct.</text>
  </threadedComment>
  <threadedComment ref="D68" dT="2021-02-18T20:42:23.71" personId="{B1CC9E99-8178-4F60-A02C-ABBDF3B1FBB1}" id="{F70694A5-48AA-4D9F-9A3D-7FE9A3F0748E}">
    <text>Check the Range numbers to make sure they are correct.</text>
  </threadedComment>
  <threadedComment ref="D69" dT="2021-02-18T21:01:24.13" personId="{B1CC9E99-8178-4F60-A02C-ABBDF3B1FBB1}" id="{8FEAE23A-02FB-440A-9EFB-F9532B82F1E6}">
    <text>prob that all believe should be 0.130</text>
  </threadedComment>
  <threadedComment ref="D79" dT="2021-02-19T03:38:26.70" personId="{B1CC9E99-8178-4F60-A02C-ABBDF3B1FBB1}" id="{6F19ECE8-705C-418B-A806-EE2642E14C45}">
    <text>the % of bad things</text>
  </threadedComment>
  <threadedComment ref="A90" dT="2021-02-18T17:39:36.09" personId="{B1CC9E99-8178-4F60-A02C-ABBDF3B1FBB1}" id="{8F99780A-309B-4EE4-8CCF-BF4F077BDF79}">
    <text>This is the initial bed amount</text>
  </threadedComment>
  <threadedComment ref="B90" dT="2021-02-18T17:43:05.35" personId="{B1CC9E99-8178-4F60-A02C-ABBDF3B1FBB1}" id="{D7EC0584-4882-41DB-889B-E570AF829270}">
    <text>expected value for a single number bet</text>
  </threadedComment>
  <threadedComment ref="A91" dT="2021-02-18T17:40:10.02" personId="{B1CC9E99-8178-4F60-A02C-ABBDF3B1FBB1}" id="{E1D0AFAB-6C30-408B-B4E2-BF0FAB675B87}">
    <text>This is the net profit</text>
  </threadedComment>
  <threadedComment ref="B91" dT="2021-02-18T17:42:39.10" personId="{B1CC9E99-8178-4F60-A02C-ABBDF3B1FBB1}" id="{790CB415-2774-48C5-B0E5-367F9644BAC9}">
    <text>Probability of losing x on this bet</text>
  </threadedComment>
  <threadedComment ref="B92" dT="2021-02-19T02:41:15.74" personId="{B1CC9E99-8178-4F60-A02C-ABBDF3B1FBB1}" id="{01374628-4BDD-45E0-8AE4-BA3E9C75455D}">
    <text>Net profit*odds-paid amount*1-odds=
expected value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A6" dT="2021-02-23T02:26:13.17" personId="{B1CC9E99-8178-4F60-A02C-ABBDF3B1FBB1}" id="{F77C48E2-56B8-4AF5-9E59-8D5B76FFF0F3}">
    <text>input % converted to dec. or probability to return X.  down in the P(x&lt;a. x&gt;a) percentile slots below</text>
  </threadedComment>
  <threadedComment ref="A10" dT="2021-02-22T15:32:24.65" personId="{B1CC9E99-8178-4F60-A02C-ABBDF3B1FBB1}" id="{7AA5525F-8EDC-4C0C-8B70-1C00D48BD3B4}">
    <text>the higher endpoint comes first then the lower endpoint second</text>
  </threadedComment>
  <threadedComment ref="H10" dT="2021-02-22T15:32:24.65" personId="{B1CC9E99-8178-4F60-A02C-ABBDF3B1FBB1}" id="{77D39D8F-CA34-45E6-9A8E-9B80E6E8DA9C}">
    <text>the higher endpoint comes first then the lower endpoint second</text>
  </threadedComment>
  <threadedComment ref="A11" dT="2021-02-22T15:54:37.82" personId="{B1CC9E99-8178-4F60-A02C-ABBDF3B1FBB1}" id="{F9938C6C-7882-4D41-8FA6-02721D19C4DB}">
    <text>1 SD from mean</text>
  </threadedComment>
  <threadedComment ref="H11" dT="2021-02-22T15:54:37.82" personId="{B1CC9E99-8178-4F60-A02C-ABBDF3B1FBB1}" id="{EFF244BA-0072-49BC-A381-65DB96C14121}">
    <text>1 SD from mean</text>
  </threadedComment>
  <threadedComment ref="A13" dT="2021-02-22T15:51:53.12" personId="{B1CC9E99-8178-4F60-A02C-ABBDF3B1FBB1}" id="{E8D29D3A-BCC3-4B5A-9C9D-992783993B2A}">
    <text>P(x&lt;a)=.05 w/2 σ</text>
  </threadedComment>
  <threadedComment ref="H13" dT="2021-02-22T15:51:53.12" personId="{B1CC9E99-8178-4F60-A02C-ABBDF3B1FBB1}" id="{DAE21660-CAA5-49BB-AE1A-A664C1FBC41E}">
    <text>P(x&lt;a)=.05 w/2 σ</text>
  </threadedComment>
  <threadedComment ref="A14" dT="2021-02-22T15:52:06.75" personId="{B1CC9E99-8178-4F60-A02C-ABBDF3B1FBB1}" id="{7D3937B1-B1A5-4426-A724-31FC3F3C5516}">
    <text>p(x&gt;a)=.95 w/ 2 σ</text>
  </threadedComment>
  <threadedComment ref="H14" dT="2021-02-22T15:52:06.75" personId="{B1CC9E99-8178-4F60-A02C-ABBDF3B1FBB1}" id="{3CD80F1D-25AF-4420-AB97-3D73CD7D209C}">
    <text>p(x&gt;a)=.95 w/ 2 σ</text>
  </threadedComment>
  <threadedComment ref="B15" dT="2021-02-22T20:29:57.96" personId="{B1CC9E99-8178-4F60-A02C-ABBDF3B1FBB1}" id="{E318039D-9CC2-4CC1-A5E0-3BB739273392}">
    <text>can be lower limit output</text>
  </threadedComment>
  <threadedComment ref="C15" dT="2021-02-22T20:29:44.65" personId="{B1CC9E99-8178-4F60-A02C-ABBDF3B1FBB1}" id="{2B13E7A3-F577-46B0-BA0C-497F5F8AE49E}">
    <text>can be upper limit output</text>
  </threadedComment>
  <threadedComment ref="D15" dT="2021-02-22T20:29:57.96" personId="{B1CC9E99-8178-4F60-A02C-ABBDF3B1FBB1}" id="{103D079B-8B38-4072-B39B-F3B3F0ECA70F}">
    <text>can be lower limit output</text>
  </threadedComment>
  <threadedComment ref="E15" dT="2021-02-22T20:29:57.96" personId="{B1CC9E99-8178-4F60-A02C-ABBDF3B1FBB1}" id="{D160FCDE-CF6C-4429-9A36-C713BC05CD2B}">
    <text>can be lower limit output</text>
  </threadedComment>
  <threadedComment ref="B17" dT="2021-02-23T14:54:21.31" personId="{B1CC9E99-8178-4F60-A02C-ABBDF3B1FBB1}" id="{FCE6CC32-7BB0-4CA8-84C8-215F5BD0C943}">
    <text>this is the sample means, plug value into sd to calculate probability for that quanitity</text>
  </threadedComment>
  <threadedComment ref="D17" dT="2021-02-23T14:54:21.31" personId="{B1CC9E99-8178-4F60-A02C-ABBDF3B1FBB1}" id="{716F72B0-F207-4D05-AB69-4B05A5817CD9}">
    <text>this is the sample means, plug value into sd to calculate probability for that quanitity</text>
  </threadedComment>
  <threadedComment ref="E17" dT="2021-02-23T14:54:21.31" personId="{B1CC9E99-8178-4F60-A02C-ABBDF3B1FBB1}" id="{9F43B9F0-6ACF-4D03-862C-8EBB9157B8BE}">
    <text>this is the sample means, plug value into sd to calculate probability for that quanitity</text>
  </threadedComment>
  <threadedComment ref="D25" dT="2021-02-22T16:36:17.68" personId="{B1CC9E99-8178-4F60-A02C-ABBDF3B1FBB1}" id="{3BCAA71D-1796-437F-B5EE-8AAF4E02826C}">
    <text>since uniform dist is rectangular,L of 2 and area of 1 so 1/2.  (L x W =area)</text>
  </threadedComment>
  <threadedComment ref="D30" dT="2021-02-23T16:59:55.32" personId="{B1CC9E99-8178-4F60-A02C-ABBDF3B1FBB1}" id="{70A34E45-D8F1-4A5F-849B-D373F1B27AF2}">
    <text>this is the new weight parameter input</text>
  </threadedComment>
  <threadedComment ref="B32" dT="2021-02-23T16:59:06.82" personId="{B1CC9E99-8178-4F60-A02C-ABBDF3B1FBB1}" id="{617715D3-9B48-4744-BD4A-2D12F58D9F64}">
    <text>keep as original mean value</text>
  </threadedComment>
  <threadedComment ref="D32" dT="2021-02-23T16:59:26.38" personId="{B1CC9E99-8178-4F60-A02C-ABBDF3B1FBB1}" id="{9638D367-8249-4956-9549-8E3A1ACFDFBD}">
    <text>keep as original mean value</text>
  </threadedComment>
  <threadedComment ref="A34" dT="2021-02-23T02:26:13.17" personId="{B1CC9E99-8178-4F60-A02C-ABBDF3B1FBB1}" id="{AD08575F-7ABB-425F-B2B7-AFD586371B8B}">
    <text>input % converted to dec. or probability to return X.  down in the P(x&lt;a. x&gt;a) percentile slots below</text>
  </threadedComment>
  <threadedComment ref="A38" dT="2021-02-22T15:32:24.65" personId="{B1CC9E99-8178-4F60-A02C-ABBDF3B1FBB1}" id="{FA8A236B-C17A-4800-9ECC-C6EFFB519D8E}">
    <text>the higher endpoint comes first then the lower endpoint second</text>
  </threadedComment>
  <threadedComment ref="A39" dT="2021-02-22T15:54:37.82" personId="{B1CC9E99-8178-4F60-A02C-ABBDF3B1FBB1}" id="{B287CB30-C780-4766-9EDD-2BEBC9C2A8C5}">
    <text>1 SD from mean</text>
  </threadedComment>
  <threadedComment ref="A41" dT="2021-02-22T15:51:53.12" personId="{B1CC9E99-8178-4F60-A02C-ABBDF3B1FBB1}" id="{6AA96875-E0C6-4F39-95EF-14F0DFD23850}">
    <text>P(x&lt;a)=.05 w/2 σ</text>
  </threadedComment>
  <threadedComment ref="A42" dT="2021-02-22T15:52:06.75" personId="{B1CC9E99-8178-4F60-A02C-ABBDF3B1FBB1}" id="{3CDCA34B-0A95-47B4-B7CC-5D7D39674A58}">
    <text>p(x&gt;a)=.95 w/ 2 σ</text>
  </threadedComment>
  <threadedComment ref="B43" dT="2021-02-22T20:29:57.96" personId="{B1CC9E99-8178-4F60-A02C-ABBDF3B1FBB1}" id="{A920EAC1-0CDA-46AB-A0C1-C4B1567BD47E}">
    <text>can be lower limit output</text>
  </threadedComment>
  <threadedComment ref="C43" dT="2021-02-22T20:29:44.65" personId="{B1CC9E99-8178-4F60-A02C-ABBDF3B1FBB1}" id="{AD5E2AC4-8484-46FC-B9D7-64B5C2AD1AF6}">
    <text>can be upper limit output</text>
  </threadedComment>
  <threadedComment ref="D43" dT="2021-02-22T20:29:57.96" personId="{B1CC9E99-8178-4F60-A02C-ABBDF3B1FBB1}" id="{F5F0B82C-5D58-4469-868A-3C5E5957E1BC}">
    <text>can be lower limit output</text>
  </threadedComment>
  <threadedComment ref="B45" dT="2021-02-23T14:54:21.31" personId="{B1CC9E99-8178-4F60-A02C-ABBDF3B1FBB1}" id="{ADC4B8A5-0E37-4CB0-864C-F5609FDE5A7E}">
    <text>this is the sample means, plug value into sd to calculate probability for that quanitity</text>
  </threadedComment>
  <threadedComment ref="D45" dT="2021-02-23T14:54:21.31" personId="{B1CC9E99-8178-4F60-A02C-ABBDF3B1FBB1}" id="{61B5D4B8-569F-4D0C-A288-2A2C8D6BAAB1}">
    <text>this is the sample means, plug value into sd to calculate probability for that quanitity</text>
  </threadedComment>
  <threadedComment ref="A53" dT="2021-02-23T02:26:13.17" personId="{B1CC9E99-8178-4F60-A02C-ABBDF3B1FBB1}" id="{DC2EA79D-7571-4831-9C97-C9F06C86137A}">
    <text>input % converted to dec. or probability to return X.  down in the P(x&lt;a. x&gt;a) percentile slots below</text>
  </threadedComment>
  <threadedComment ref="A57" dT="2021-02-22T15:32:24.65" personId="{B1CC9E99-8178-4F60-A02C-ABBDF3B1FBB1}" id="{ABD87BE6-38E8-4261-9483-B31843135B9D}">
    <text>the higher endpoint comes first then the lower endpoint second</text>
  </threadedComment>
  <threadedComment ref="A58" dT="2021-02-22T15:54:37.82" personId="{B1CC9E99-8178-4F60-A02C-ABBDF3B1FBB1}" id="{2459ADA6-7EB7-49C4-8ED0-DF1CEEDF65C0}">
    <text>1 SD from mean</text>
  </threadedComment>
  <threadedComment ref="A60" dT="2021-02-22T15:51:53.12" personId="{B1CC9E99-8178-4F60-A02C-ABBDF3B1FBB1}" id="{AAE12AD4-AA02-487F-9BE5-0625C37254B8}">
    <text>P(x&lt;a)=.05 w/2 σ</text>
  </threadedComment>
  <threadedComment ref="A61" dT="2021-02-22T15:52:06.75" personId="{B1CC9E99-8178-4F60-A02C-ABBDF3B1FBB1}" id="{4A0DAF40-3BBB-460C-8F22-7005E49D7B90}">
    <text>p(x&gt;a)=.95 w/ 2 σ</text>
  </threadedComment>
  <threadedComment ref="B62" dT="2021-02-22T20:29:57.96" personId="{B1CC9E99-8178-4F60-A02C-ABBDF3B1FBB1}" id="{232C77A7-6C53-4A7F-8B6A-9A890D977E3C}">
    <text>can be lower limit output</text>
  </threadedComment>
  <threadedComment ref="C62" dT="2021-02-22T20:29:44.65" personId="{B1CC9E99-8178-4F60-A02C-ABBDF3B1FBB1}" id="{E5F967F1-65A4-477D-ACAE-ECE9433079DB}">
    <text>can be upper limit output</text>
  </threadedComment>
  <threadedComment ref="D62" dT="2021-02-22T20:29:57.96" personId="{B1CC9E99-8178-4F60-A02C-ABBDF3B1FBB1}" id="{62C2CC94-2D22-41B8-8665-24B47110F78E}">
    <text>can be lower limit output</text>
  </threadedComment>
  <threadedComment ref="E62" dT="2021-02-22T20:29:57.96" personId="{B1CC9E99-8178-4F60-A02C-ABBDF3B1FBB1}" id="{D8F7E91E-580E-4A90-9DC9-F4A0C54D840E}">
    <text>can be lower limit output</text>
  </threadedComment>
  <threadedComment ref="B64" dT="2021-02-23T14:54:21.31" personId="{B1CC9E99-8178-4F60-A02C-ABBDF3B1FBB1}" id="{408712D2-07DD-4676-AF25-F4B8C0AE7795}">
    <text>this is the sample means, plug value into sd to calculate probability for that quanitity</text>
  </threadedComment>
  <threadedComment ref="D64" dT="2021-02-23T14:54:21.31" personId="{B1CC9E99-8178-4F60-A02C-ABBDF3B1FBB1}" id="{42A27B29-2720-44CE-BCD4-30AFB24B7B8E}">
    <text>this is the sample means, plug value into sd to calculate probability for that quanitity</text>
  </threadedComment>
  <threadedComment ref="E64" dT="2021-02-23T14:54:21.31" personId="{B1CC9E99-8178-4F60-A02C-ABBDF3B1FBB1}" id="{3CC01F9E-1913-4BFA-96E3-3C6C4C7F8C6C}">
    <text>this is the sample means, plug value into sd to calculate probability for that quanitity</text>
  </threadedComment>
  <threadedComment ref="D72" dT="2021-02-22T16:36:17.68" personId="{B1CC9E99-8178-4F60-A02C-ABBDF3B1FBB1}" id="{2F7DCDB6-4442-4EBE-A291-B2BAA052A2CB}">
    <text>since uniform dist is rectangular,L of 2 and area of 1 so 1/2.  (L x W =area)</text>
  </threadedComment>
  <threadedComment ref="A83" dT="2021-02-22T15:32:24.65" personId="{B1CC9E99-8178-4F60-A02C-ABBDF3B1FBB1}" id="{56503B07-C703-4E77-938E-45FD1374CCF4}">
    <text>the higher endpoint comes first then the lower endpoint second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D29" dT="2021-02-24T04:23:31.95" personId="{B1CC9E99-8178-4F60-A02C-ABBDF3B1FBB1}" id="{7F4BD11B-1A6D-466E-8B0D-66D3BC4ACCFB}">
    <text>probability of 148 or less</text>
  </threadedComment>
  <threadedComment ref="D30" dT="2021-02-24T04:25:32.43" personId="{B1CC9E99-8178-4F60-A02C-ABBDF3B1FBB1}" id="{34ABDE7D-D6CF-4639-AEA5-EC551289A401}">
    <text>at least 160, (160~180)</text>
  </threadedComment>
</ThreadedComments>
</file>

<file path=xl/threadedComments/threadedComment8.xml><?xml version="1.0" encoding="utf-8"?>
<ThreadedComments xmlns="http://schemas.microsoft.com/office/spreadsheetml/2018/threadedcomments" xmlns:x="http://schemas.openxmlformats.org/spreadsheetml/2006/main">
  <threadedComment ref="M5" dT="2021-02-23T02:26:13.17" personId="{B1CC9E99-8178-4F60-A02C-ABBDF3B1FBB1}" id="{94DB8234-4521-40FD-B23E-FA12531EA31B}">
    <text>input % converted to dec. or probability to return X.  down in the P(x&lt;a. x&gt;a) percentile slots below</text>
  </threadedComment>
  <threadedComment ref="M9" dT="2021-02-22T15:32:24.65" personId="{B1CC9E99-8178-4F60-A02C-ABBDF3B1FBB1}" id="{055E783A-FA69-49F0-BC9F-547EC292F112}">
    <text>the higher endpoint comes first then the lower endpoint second</text>
  </threadedComment>
  <threadedComment ref="M10" dT="2021-02-22T15:54:37.82" personId="{B1CC9E99-8178-4F60-A02C-ABBDF3B1FBB1}" id="{A1CFF537-8217-4863-A68B-8F8432674CBD}">
    <text>1 SD from mean</text>
  </threadedComment>
  <threadedComment ref="M12" dT="2021-02-22T15:51:53.12" personId="{B1CC9E99-8178-4F60-A02C-ABBDF3B1FBB1}" id="{6AFB78F9-C380-42F2-8182-28CD3BF8ABDC}">
    <text>P(x&lt;a)=.05 w/2 σ</text>
  </threadedComment>
  <threadedComment ref="M13" dT="2021-02-22T15:52:06.75" personId="{B1CC9E99-8178-4F60-A02C-ABBDF3B1FBB1}" id="{E96ED1E3-3D47-415B-B526-A7A9712A14B9}">
    <text>p(x&gt;a)=.95 w/ 2 σ</text>
  </threadedComment>
  <threadedComment ref="M14" dT="2021-02-22T20:29:57.96" personId="{B1CC9E99-8178-4F60-A02C-ABBDF3B1FBB1}" id="{8C04A677-F514-4907-8535-072D656DFFCA}">
    <text>can be lower limit output</text>
  </threadedComment>
  <threadedComment ref="M16" dT="2021-02-23T14:54:21.31" personId="{B1CC9E99-8178-4F60-A02C-ABBDF3B1FBB1}" id="{7B18131D-AF38-403E-B31E-F63F524224EC}">
    <text>this is the sample means, plug value into sd to calculate probability for that quanitity</text>
  </threadedComment>
</ThreadedComments>
</file>

<file path=xl/threadedComments/threadedComment9.xml><?xml version="1.0" encoding="utf-8"?>
<ThreadedComments xmlns="http://schemas.microsoft.com/office/spreadsheetml/2018/threadedcomments" xmlns:x="http://schemas.openxmlformats.org/spreadsheetml/2006/main">
  <threadedComment ref="A14" dT="2021-04-01T17:28:22.84" personId="{B1CC9E99-8178-4F60-A02C-ABBDF3B1FBB1}" id="{0C0FB385-E330-490B-B18B-64D461DA343D}">
    <text>σ not known and normally distributed population or σ not known and n&gt;30</text>
  </threadedComment>
  <threadedComment ref="A15" dT="2021-04-01T17:27:29.86" personId="{B1CC9E99-8178-4F60-A02C-ABBDF3B1FBB1}" id="{B06164BA-52D2-4391-B703-84CE042CF1A6}">
    <text>σ known and normally distributed population or σ known and n&gt;30</text>
  </threadedComment>
</ThreadedComments>
</file>

<file path=xl/threadedComments/threadedComment10.xml><?xml version="1.0" encoding="utf-8"?>
<ThreadedComments xmlns="http://schemas.microsoft.com/office/spreadsheetml/2018/threadedcomments" xmlns:x="http://schemas.openxmlformats.org/spreadsheetml/2006/main">
  <threadedComment ref="F14" dT="2021-04-01T17:28:22.84" personId="{B1CC9E99-8178-4F60-A02C-ABBDF3B1FBB1}" id="{360C52DF-D699-4040-A1FE-43AA0C9B5DAC}">
    <text>σ not known and normally distributed population or σ not known and n&gt;30</text>
  </threadedComment>
  <threadedComment ref="F15" dT="2021-04-01T17:27:29.86" personId="{B1CC9E99-8178-4F60-A02C-ABBDF3B1FBB1}" id="{CC089B34-6D5E-414D-94B6-2EE720913CFC}">
    <text>σ known and normally distributed population or σ known and n&gt;30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Relationship Id="rId5" Type="http://schemas.microsoft.com/office/2017/10/relationships/threadedComment" Target="../threadedComments/threadedComment3.xml"/><Relationship Id="rId4" Type="http://schemas.openxmlformats.org/officeDocument/2006/relationships/comments" Target="../comments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Relationship Id="rId5" Type="http://schemas.microsoft.com/office/2017/10/relationships/threadedComment" Target="../threadedComments/threadedComment4.xml"/><Relationship Id="rId4" Type="http://schemas.openxmlformats.org/officeDocument/2006/relationships/comments" Target="../comments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14.xml"/><Relationship Id="rId4" Type="http://schemas.microsoft.com/office/2017/10/relationships/threadedComment" Target="../threadedComments/threadedComment5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6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7.bin"/><Relationship Id="rId5" Type="http://schemas.microsoft.com/office/2017/10/relationships/threadedComment" Target="../threadedComments/threadedComment7.xml"/><Relationship Id="rId4" Type="http://schemas.openxmlformats.org/officeDocument/2006/relationships/comments" Target="../comments7.xml"/></Relationships>
</file>

<file path=xl/worksheets/_rels/sheet2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8.xml"/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8.bin"/><Relationship Id="rId4" Type="http://schemas.microsoft.com/office/2017/10/relationships/threadedComment" Target="../threadedComments/threadedComment9.xml"/></Relationships>
</file>

<file path=xl/worksheets/_rels/sheet2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0.xml"/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CD231-D956-4D0A-B859-004091018CF1}">
  <dimension ref="A1:F50"/>
  <sheetViews>
    <sheetView zoomScale="120" zoomScaleNormal="120" workbookViewId="0">
      <selection activeCell="E19" sqref="E19"/>
    </sheetView>
  </sheetViews>
  <sheetFormatPr defaultRowHeight="14.5" x14ac:dyDescent="0.35"/>
  <cols>
    <col min="3" max="3" width="11.26953125" bestFit="1" customWidth="1"/>
    <col min="8" max="8" width="11.7265625" bestFit="1" customWidth="1"/>
  </cols>
  <sheetData>
    <row r="1" spans="1:6" x14ac:dyDescent="0.35">
      <c r="A1">
        <v>7</v>
      </c>
      <c r="C1" t="s">
        <v>335</v>
      </c>
      <c r="D1">
        <v>6</v>
      </c>
      <c r="E1">
        <f>A50-A1</f>
        <v>79</v>
      </c>
    </row>
    <row r="2" spans="1:6" x14ac:dyDescent="0.35">
      <c r="A2">
        <v>7</v>
      </c>
      <c r="C2" t="s">
        <v>336</v>
      </c>
      <c r="D2">
        <f>MAX(A:A)-MIN(A:A)</f>
        <v>79</v>
      </c>
      <c r="E2" s="150" t="s">
        <v>337</v>
      </c>
    </row>
    <row r="3" spans="1:6" x14ac:dyDescent="0.35">
      <c r="A3">
        <v>11</v>
      </c>
      <c r="C3" t="s">
        <v>292</v>
      </c>
      <c r="D3">
        <f>D2/D1</f>
        <v>13.166666666666666</v>
      </c>
      <c r="E3" s="150" t="s">
        <v>338</v>
      </c>
    </row>
    <row r="4" spans="1:6" x14ac:dyDescent="0.35">
      <c r="A4">
        <v>17</v>
      </c>
      <c r="C4" t="s">
        <v>339</v>
      </c>
      <c r="D4">
        <v>14</v>
      </c>
    </row>
    <row r="5" spans="1:6" ht="15" thickBot="1" x14ac:dyDescent="0.4">
      <c r="A5">
        <v>17</v>
      </c>
    </row>
    <row r="6" spans="1:6" x14ac:dyDescent="0.35">
      <c r="A6">
        <v>18</v>
      </c>
      <c r="C6" t="s">
        <v>282</v>
      </c>
      <c r="D6" t="s">
        <v>283</v>
      </c>
      <c r="E6" s="122" t="s">
        <v>295</v>
      </c>
      <c r="F6" s="122" t="s">
        <v>289</v>
      </c>
    </row>
    <row r="7" spans="1:6" x14ac:dyDescent="0.35">
      <c r="A7">
        <v>19</v>
      </c>
      <c r="C7">
        <v>7</v>
      </c>
      <c r="D7">
        <v>20</v>
      </c>
      <c r="E7" t="s">
        <v>340</v>
      </c>
      <c r="F7">
        <v>8</v>
      </c>
    </row>
    <row r="8" spans="1:6" x14ac:dyDescent="0.35">
      <c r="A8">
        <v>20</v>
      </c>
      <c r="C8">
        <v>21</v>
      </c>
      <c r="D8">
        <v>34</v>
      </c>
      <c r="E8" t="s">
        <v>341</v>
      </c>
      <c r="F8">
        <v>12</v>
      </c>
    </row>
    <row r="9" spans="1:6" x14ac:dyDescent="0.35">
      <c r="A9">
        <v>21</v>
      </c>
      <c r="C9">
        <v>35</v>
      </c>
      <c r="D9">
        <v>48</v>
      </c>
      <c r="E9" t="s">
        <v>342</v>
      </c>
      <c r="F9">
        <v>12</v>
      </c>
    </row>
    <row r="10" spans="1:6" x14ac:dyDescent="0.35">
      <c r="A10">
        <v>22</v>
      </c>
      <c r="C10">
        <v>49</v>
      </c>
      <c r="D10">
        <v>62</v>
      </c>
      <c r="E10" t="s">
        <v>343</v>
      </c>
      <c r="F10">
        <v>10</v>
      </c>
    </row>
    <row r="11" spans="1:6" x14ac:dyDescent="0.35">
      <c r="A11">
        <v>23</v>
      </c>
      <c r="C11">
        <v>63</v>
      </c>
      <c r="D11">
        <v>76</v>
      </c>
      <c r="E11" t="s">
        <v>344</v>
      </c>
      <c r="F11">
        <v>4</v>
      </c>
    </row>
    <row r="12" spans="1:6" x14ac:dyDescent="0.35">
      <c r="A12">
        <v>28</v>
      </c>
      <c r="C12">
        <v>77</v>
      </c>
      <c r="D12">
        <v>90</v>
      </c>
      <c r="E12" t="s">
        <v>345</v>
      </c>
      <c r="F12">
        <v>4</v>
      </c>
    </row>
    <row r="13" spans="1:6" x14ac:dyDescent="0.35">
      <c r="A13">
        <v>29</v>
      </c>
    </row>
    <row r="14" spans="1:6" x14ac:dyDescent="0.35">
      <c r="A14">
        <v>29</v>
      </c>
    </row>
    <row r="15" spans="1:6" x14ac:dyDescent="0.35">
      <c r="A15">
        <v>30</v>
      </c>
    </row>
    <row r="16" spans="1:6" x14ac:dyDescent="0.35">
      <c r="A16">
        <v>30</v>
      </c>
    </row>
    <row r="17" spans="1:1" x14ac:dyDescent="0.35">
      <c r="A17">
        <v>31</v>
      </c>
    </row>
    <row r="18" spans="1:1" x14ac:dyDescent="0.35">
      <c r="A18">
        <v>31</v>
      </c>
    </row>
    <row r="19" spans="1:1" x14ac:dyDescent="0.35">
      <c r="A19">
        <v>33</v>
      </c>
    </row>
    <row r="20" spans="1:1" x14ac:dyDescent="0.35">
      <c r="A20">
        <v>34</v>
      </c>
    </row>
    <row r="21" spans="1:1" x14ac:dyDescent="0.35">
      <c r="A21">
        <v>36</v>
      </c>
    </row>
    <row r="22" spans="1:1" x14ac:dyDescent="0.35">
      <c r="A22">
        <v>37</v>
      </c>
    </row>
    <row r="23" spans="1:1" x14ac:dyDescent="0.35">
      <c r="A23">
        <v>39</v>
      </c>
    </row>
    <row r="24" spans="1:1" x14ac:dyDescent="0.35">
      <c r="A24">
        <v>39</v>
      </c>
    </row>
    <row r="25" spans="1:1" x14ac:dyDescent="0.35">
      <c r="A25">
        <v>39</v>
      </c>
    </row>
    <row r="26" spans="1:1" x14ac:dyDescent="0.35">
      <c r="A26">
        <v>40</v>
      </c>
    </row>
    <row r="27" spans="1:1" x14ac:dyDescent="0.35">
      <c r="A27">
        <v>41</v>
      </c>
    </row>
    <row r="28" spans="1:1" x14ac:dyDescent="0.35">
      <c r="A28">
        <v>41</v>
      </c>
    </row>
    <row r="29" spans="1:1" x14ac:dyDescent="0.35">
      <c r="A29">
        <v>42</v>
      </c>
    </row>
    <row r="30" spans="1:1" x14ac:dyDescent="0.35">
      <c r="A30">
        <v>44</v>
      </c>
    </row>
    <row r="31" spans="1:1" x14ac:dyDescent="0.35">
      <c r="A31">
        <v>44</v>
      </c>
    </row>
    <row r="32" spans="1:1" x14ac:dyDescent="0.35">
      <c r="A32">
        <v>46</v>
      </c>
    </row>
    <row r="33" spans="1:1" x14ac:dyDescent="0.35">
      <c r="A33">
        <v>50</v>
      </c>
    </row>
    <row r="34" spans="1:1" x14ac:dyDescent="0.35">
      <c r="A34">
        <v>51</v>
      </c>
    </row>
    <row r="35" spans="1:1" x14ac:dyDescent="0.35">
      <c r="A35">
        <v>53</v>
      </c>
    </row>
    <row r="36" spans="1:1" x14ac:dyDescent="0.35">
      <c r="A36">
        <v>54</v>
      </c>
    </row>
    <row r="37" spans="1:1" x14ac:dyDescent="0.35">
      <c r="A37">
        <v>54</v>
      </c>
    </row>
    <row r="38" spans="1:1" x14ac:dyDescent="0.35">
      <c r="A38">
        <v>56</v>
      </c>
    </row>
    <row r="39" spans="1:1" x14ac:dyDescent="0.35">
      <c r="A39">
        <v>56</v>
      </c>
    </row>
    <row r="40" spans="1:1" x14ac:dyDescent="0.35">
      <c r="A40">
        <v>56</v>
      </c>
    </row>
    <row r="41" spans="1:1" x14ac:dyDescent="0.35">
      <c r="A41">
        <v>59</v>
      </c>
    </row>
    <row r="42" spans="1:1" x14ac:dyDescent="0.35">
      <c r="A42">
        <v>62</v>
      </c>
    </row>
    <row r="43" spans="1:1" x14ac:dyDescent="0.35">
      <c r="A43">
        <v>67</v>
      </c>
    </row>
    <row r="44" spans="1:1" x14ac:dyDescent="0.35">
      <c r="A44">
        <v>69</v>
      </c>
    </row>
    <row r="45" spans="1:1" x14ac:dyDescent="0.35">
      <c r="A45">
        <v>72</v>
      </c>
    </row>
    <row r="46" spans="1:1" x14ac:dyDescent="0.35">
      <c r="A46">
        <v>73</v>
      </c>
    </row>
    <row r="47" spans="1:1" x14ac:dyDescent="0.35">
      <c r="A47">
        <v>77</v>
      </c>
    </row>
    <row r="48" spans="1:1" x14ac:dyDescent="0.35">
      <c r="A48">
        <v>78</v>
      </c>
    </row>
    <row r="49" spans="1:1" x14ac:dyDescent="0.35">
      <c r="A49">
        <v>80</v>
      </c>
    </row>
    <row r="50" spans="1:1" x14ac:dyDescent="0.35">
      <c r="A50">
        <v>86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9F1E-25AC-4613-8BDE-63CDC6B2B00A}">
  <dimension ref="A1:M43"/>
  <sheetViews>
    <sheetView workbookViewId="0">
      <selection activeCell="B7" sqref="B7"/>
    </sheetView>
  </sheetViews>
  <sheetFormatPr defaultRowHeight="14.5" x14ac:dyDescent="0.35"/>
  <cols>
    <col min="1" max="1" width="31.26953125" bestFit="1" customWidth="1"/>
    <col min="2" max="2" width="10.1796875" customWidth="1"/>
    <col min="3" max="3" width="9.36328125" bestFit="1" customWidth="1"/>
    <col min="5" max="5" width="10.90625" bestFit="1" customWidth="1"/>
    <col min="10" max="10" width="31.26953125" bestFit="1" customWidth="1"/>
    <col min="12" max="13" width="10.36328125" bestFit="1" customWidth="1"/>
  </cols>
  <sheetData>
    <row r="1" spans="1:13" x14ac:dyDescent="0.35">
      <c r="A1" t="s">
        <v>20</v>
      </c>
      <c r="H1" t="s">
        <v>21</v>
      </c>
    </row>
    <row r="2" spans="1:13" x14ac:dyDescent="0.35">
      <c r="A2" t="s">
        <v>22</v>
      </c>
      <c r="C2">
        <v>6500</v>
      </c>
      <c r="D2" s="27">
        <f>STANDARDIZE(15,15.5,2.6)</f>
        <v>-0.19230769230769229</v>
      </c>
      <c r="G2" t="s">
        <v>23</v>
      </c>
      <c r="H2">
        <f>_xlfn.NORM.INV(0.05,2.0879,1.445)</f>
        <v>-0.28891349094487806</v>
      </c>
    </row>
    <row r="3" spans="1:13" x14ac:dyDescent="0.35">
      <c r="A3" t="s">
        <v>24</v>
      </c>
      <c r="D3" s="27">
        <f>STANDARDIZE(19,15.5,2.6)</f>
        <v>1.346153846153846</v>
      </c>
      <c r="J3" t="s">
        <v>22</v>
      </c>
      <c r="K3" s="28">
        <v>69</v>
      </c>
      <c r="L3" s="29">
        <v>69</v>
      </c>
      <c r="M3">
        <v>69</v>
      </c>
    </row>
    <row r="4" spans="1:13" x14ac:dyDescent="0.35">
      <c r="A4" t="s">
        <v>25</v>
      </c>
      <c r="B4" s="1">
        <v>2237</v>
      </c>
      <c r="C4" s="1">
        <v>7264</v>
      </c>
      <c r="D4">
        <f>_xlfn.BINOM.DIST.RANGE(60,0.32,0,17)</f>
        <v>0.32390572794356826</v>
      </c>
      <c r="J4" t="s">
        <v>20</v>
      </c>
      <c r="K4" s="28"/>
      <c r="L4" s="29"/>
    </row>
    <row r="5" spans="1:13" x14ac:dyDescent="0.35">
      <c r="A5" t="s">
        <v>26</v>
      </c>
      <c r="B5" s="1">
        <v>123</v>
      </c>
      <c r="C5" s="1">
        <f>B17</f>
        <v>14.701311894813042</v>
      </c>
      <c r="K5" s="28">
        <v>69</v>
      </c>
      <c r="L5" s="29">
        <v>69</v>
      </c>
      <c r="M5">
        <v>69</v>
      </c>
    </row>
    <row r="6" spans="1:13" x14ac:dyDescent="0.35">
      <c r="A6" t="s">
        <v>27</v>
      </c>
      <c r="B6">
        <v>0.05</v>
      </c>
      <c r="C6">
        <v>0.32</v>
      </c>
      <c r="F6" t="s">
        <v>28</v>
      </c>
      <c r="G6">
        <v>10</v>
      </c>
      <c r="J6" t="s">
        <v>24</v>
      </c>
      <c r="K6" s="28">
        <v>83</v>
      </c>
      <c r="L6" s="28">
        <v>83</v>
      </c>
      <c r="M6" s="28">
        <v>83</v>
      </c>
    </row>
    <row r="7" spans="1:13" x14ac:dyDescent="0.35">
      <c r="A7" t="s">
        <v>29</v>
      </c>
      <c r="B7" s="1">
        <f>_xlfn.NORM.DIST(B2,B4,B5,TRUE)</f>
        <v>3.2717150963488586E-74</v>
      </c>
      <c r="C7" s="1">
        <f>_xlfn.NORM.DIST(C2,C4,C5,TRUE)</f>
        <v>0</v>
      </c>
      <c r="F7" t="s">
        <v>30</v>
      </c>
      <c r="G7">
        <v>0.70299999999999996</v>
      </c>
      <c r="J7" t="s">
        <v>25</v>
      </c>
      <c r="K7" s="30">
        <v>76</v>
      </c>
      <c r="L7" s="30">
        <v>76</v>
      </c>
      <c r="M7" s="30">
        <v>76</v>
      </c>
    </row>
    <row r="8" spans="1:13" x14ac:dyDescent="0.35">
      <c r="A8" t="s">
        <v>31</v>
      </c>
      <c r="B8" s="1">
        <f>_xlfn.NORM.DIST(B2,B4,B5,TRUE)</f>
        <v>3.2717150963488586E-74</v>
      </c>
      <c r="C8" s="1">
        <f>_xlfn.NORM.DIST(C2,C4,C5,TRUE)</f>
        <v>0</v>
      </c>
      <c r="F8" t="s">
        <v>32</v>
      </c>
      <c r="G8">
        <f>1-G7</f>
        <v>0.29700000000000004</v>
      </c>
      <c r="J8" t="s">
        <v>26</v>
      </c>
      <c r="K8" s="30">
        <v>12.5</v>
      </c>
      <c r="L8" s="31">
        <v>3.125</v>
      </c>
      <c r="M8" s="31">
        <v>3.125</v>
      </c>
    </row>
    <row r="9" spans="1:13" x14ac:dyDescent="0.35">
      <c r="A9" t="s">
        <v>33</v>
      </c>
      <c r="B9" s="1">
        <f>1-_xlfn.NORM.DIST(B2,B4,B5,TRUE)</f>
        <v>1</v>
      </c>
      <c r="C9" s="1">
        <f>1-_xlfn.NORM.DIST(C2,C4,C5,TRUE)</f>
        <v>1</v>
      </c>
      <c r="F9" s="32" t="s">
        <v>34</v>
      </c>
      <c r="G9" s="1">
        <f>G6*G7*G8</f>
        <v>2.0879099999999999</v>
      </c>
      <c r="J9" t="s">
        <v>27</v>
      </c>
      <c r="K9" s="28"/>
      <c r="L9" s="28"/>
      <c r="M9" s="33">
        <f>L13</f>
        <v>0.97490907712810682</v>
      </c>
    </row>
    <row r="10" spans="1:13" x14ac:dyDescent="0.35">
      <c r="A10" t="s">
        <v>35</v>
      </c>
      <c r="B10" s="34">
        <f>_xlfn.NORM.DIST(B3,B4,B5,TRUE)-_xlfn.NORM.DIST(B2,B4,B5,TRUE)</f>
        <v>0</v>
      </c>
      <c r="C10" s="34">
        <f>_xlfn.NORM.DIST(C3,C4,C5,TRUE)-_xlfn.NORM.DIST(C2,C4,C5,TRUE)</f>
        <v>0</v>
      </c>
      <c r="D10">
        <f>_xlfn.NORM.DIST(575,540,115/SQRT(35),TRUE)-_xlfn.NORM.DIST(550,540,115/SQRT(35),TRUE)</f>
        <v>0.26758436655586848</v>
      </c>
      <c r="F10" s="32" t="s">
        <v>36</v>
      </c>
      <c r="G10" s="1">
        <f>SQRT(G6*G7*G8)</f>
        <v>1.4449602070645406</v>
      </c>
      <c r="J10" t="s">
        <v>29</v>
      </c>
      <c r="K10" s="31">
        <f>_xlfn.NORM.DIST(K3,K7,K8,TRUE)</f>
        <v>0.28773971884902705</v>
      </c>
      <c r="L10" s="31">
        <f>_xlfn.NORM.DIST(L3,L7,L8,TRUE)</f>
        <v>1.2545461435946561E-2</v>
      </c>
      <c r="M10" s="31">
        <f>_xlfn.NORM.DIST(M3,M7,M8,TRUE)</f>
        <v>1.2545461435946561E-2</v>
      </c>
    </row>
    <row r="11" spans="1:13" x14ac:dyDescent="0.35">
      <c r="A11" t="s">
        <v>37</v>
      </c>
      <c r="B11" s="2">
        <f>_xlfn.NORM.INV(B6,B4,B5)</f>
        <v>2034.6830038849689</v>
      </c>
      <c r="C11" s="2">
        <f>_xlfn.NORM.INV(C6,C4,C5)</f>
        <v>7257.1242140813883</v>
      </c>
      <c r="J11" t="s">
        <v>31</v>
      </c>
      <c r="K11" s="31">
        <f>_xlfn.NORM.DIST(K3,K7,K8,TRUE)</f>
        <v>0.28773971884902705</v>
      </c>
      <c r="L11" s="31">
        <f>_xlfn.NORM.DIST(L3,L7,L8,TRUE)</f>
        <v>1.2545461435946561E-2</v>
      </c>
      <c r="M11" s="31">
        <f>_xlfn.NORM.DIST(M3,M7,M8,TRUE)</f>
        <v>1.2545461435946561E-2</v>
      </c>
    </row>
    <row r="12" spans="1:13" x14ac:dyDescent="0.35">
      <c r="A12" t="s">
        <v>38</v>
      </c>
      <c r="B12" s="2">
        <f>_xlfn.NORM.INV(1-B6,B4,B5)</f>
        <v>2439.3169961150311</v>
      </c>
      <c r="C12" s="2">
        <f>_xlfn.NORM.INV(1-C6,C4,C5)</f>
        <v>7270.8757859186117</v>
      </c>
      <c r="J12" t="s">
        <v>33</v>
      </c>
      <c r="K12" s="31">
        <f>1-_xlfn.NORM.DIST(K3,K7,K8,TRUE)</f>
        <v>0.71226028115097295</v>
      </c>
      <c r="L12" s="31">
        <f>1-_xlfn.NORM.DIST(L3,L7,L8,TRUE)</f>
        <v>0.98745453856405341</v>
      </c>
      <c r="M12" s="31">
        <f>1-_xlfn.NORM.DIST(M3,M7,M8,TRUE)</f>
        <v>0.98745453856405341</v>
      </c>
    </row>
    <row r="13" spans="1:13" x14ac:dyDescent="0.35">
      <c r="A13" t="s">
        <v>39</v>
      </c>
      <c r="B13" s="2">
        <f>_xlfn.NORM.INV(B6,B4,B5*2)</f>
        <v>1832.3660077699378</v>
      </c>
      <c r="C13" s="2">
        <f>_xlfn.NORM.INV(C6,C4,C5*2)</f>
        <v>7250.2484281627758</v>
      </c>
      <c r="E13">
        <f>1-_xlfn.BINOM.DIST(8,68,0.06,TRUE)</f>
        <v>2.0068587133193594E-2</v>
      </c>
      <c r="J13" t="s">
        <v>35</v>
      </c>
      <c r="K13" s="31">
        <f>_xlfn.NORM.DIST(K6,K7,K8,TRUE)-_xlfn.NORM.DIST(K3,K7,K8,TRUE)</f>
        <v>0.4245205623019459</v>
      </c>
      <c r="L13" s="35">
        <f>_xlfn.NORM.DIST(L6,L7,L8,TRUE)-_xlfn.NORM.DIST(L3,L7,L8,TRUE)</f>
        <v>0.97490907712810682</v>
      </c>
      <c r="M13" s="36">
        <f>_xlfn.NORM.DIST(M6,M7,M8,TRUE)-_xlfn.NORM.DIST(M3,M7,M8,TRUE)</f>
        <v>0.97490907712810682</v>
      </c>
    </row>
    <row r="14" spans="1:13" x14ac:dyDescent="0.35">
      <c r="A14" t="s">
        <v>40</v>
      </c>
      <c r="B14" s="2">
        <f>_xlfn.NORM.INV(1-B6,B4,B5*2)</f>
        <v>2641.6339922300622</v>
      </c>
      <c r="C14" s="2">
        <f>_xlfn.NORM.INV(1-C6,C4,C5*2)</f>
        <v>7277.7515718372242</v>
      </c>
      <c r="E14">
        <f>_xlfn.BINOM.DIST.RANGE(68,0.06,8,68)</f>
        <v>5.0382622373864261E-2</v>
      </c>
      <c r="J14" t="s">
        <v>37</v>
      </c>
      <c r="K14" s="29" t="e">
        <f>_xlfn.NORM.INV(K9,K7,K8)</f>
        <v>#NUM!</v>
      </c>
      <c r="L14" s="29" t="e">
        <f>_xlfn.NORM.INV(L9,L7,L8)</f>
        <v>#NUM!</v>
      </c>
      <c r="M14" s="29">
        <f>_xlfn.NORM.INV(M9,M7,M8)</f>
        <v>82.12003329050674</v>
      </c>
    </row>
    <row r="15" spans="1:13" x14ac:dyDescent="0.35">
      <c r="A15" t="s">
        <v>41</v>
      </c>
      <c r="B15" s="8">
        <f>B4+(B1*B5)</f>
        <v>2237</v>
      </c>
      <c r="C15" s="8">
        <f>C4+(C1*C5)</f>
        <v>7264</v>
      </c>
      <c r="E15">
        <f>1-_xlfn.BINOM.DIST(42,150,0.21,TRUE)</f>
        <v>1.6096213011250415E-2</v>
      </c>
      <c r="J15" t="s">
        <v>38</v>
      </c>
      <c r="K15" s="29" t="e">
        <f>_xlfn.NORM.INV(1-K9,K7,K8)</f>
        <v>#NUM!</v>
      </c>
      <c r="L15" s="29" t="e">
        <f>_xlfn.NORM.INV(1-L9,L7,L8)</f>
        <v>#NUM!</v>
      </c>
      <c r="M15" s="29">
        <f>_xlfn.NORM.INV(1-M9,M7,M8)</f>
        <v>69.87996670949326</v>
      </c>
    </row>
    <row r="16" spans="1:13" x14ac:dyDescent="0.35">
      <c r="A16" t="s">
        <v>42</v>
      </c>
      <c r="B16" s="49">
        <v>70</v>
      </c>
      <c r="C16" s="49">
        <v>35</v>
      </c>
      <c r="F16" s="29"/>
      <c r="J16" t="s">
        <v>39</v>
      </c>
      <c r="K16" s="29" t="e">
        <f>_xlfn.NORM.INV(K9,K7,K8*3)</f>
        <v>#NUM!</v>
      </c>
      <c r="L16" s="29" t="e">
        <f>_xlfn.NORM.INV(L9,L7,L8*2)</f>
        <v>#NUM!</v>
      </c>
      <c r="M16" s="29">
        <f>_xlfn.NORM.INV(M9,M7,M8*2)</f>
        <v>88.24006658101348</v>
      </c>
    </row>
    <row r="17" spans="1:13" x14ac:dyDescent="0.35">
      <c r="A17" t="s">
        <v>43</v>
      </c>
      <c r="B17" s="37">
        <f>B5/(SQRT(B16))</f>
        <v>14.701311894813042</v>
      </c>
      <c r="C17" s="37">
        <f>C5/(SQRT(C16))</f>
        <v>2.4849752595984382</v>
      </c>
      <c r="I17" t="s">
        <v>44</v>
      </c>
      <c r="J17" t="s">
        <v>40</v>
      </c>
      <c r="K17" s="29" t="e">
        <f>_xlfn.NORM.INV(1-K9,K7,K8*3)</f>
        <v>#NUM!</v>
      </c>
      <c r="L17" s="29" t="e">
        <f>_xlfn.NORM.INV(1-L9,L7,L8*2)</f>
        <v>#NUM!</v>
      </c>
      <c r="M17" s="29">
        <f>_xlfn.NORM.INV(1-M9,M7,M8*2)</f>
        <v>63.759933418986527</v>
      </c>
    </row>
    <row r="18" spans="1:13" x14ac:dyDescent="0.35">
      <c r="A18" t="s">
        <v>45</v>
      </c>
      <c r="B18" s="3">
        <f>B16*B9</f>
        <v>70</v>
      </c>
      <c r="C18" s="3">
        <f>C16*C9</f>
        <v>35</v>
      </c>
      <c r="I18">
        <v>0</v>
      </c>
      <c r="J18" t="s">
        <v>41</v>
      </c>
      <c r="K18" s="30">
        <f>K7+(K2*K8)</f>
        <v>76</v>
      </c>
      <c r="L18" s="30">
        <f>L7+(L2*L8)</f>
        <v>76</v>
      </c>
      <c r="M18" s="30">
        <f>M7+(M2*M8)</f>
        <v>76</v>
      </c>
    </row>
    <row r="19" spans="1:13" x14ac:dyDescent="0.35">
      <c r="B19">
        <f>STANDARDIZE(21,15.5,2.6)</f>
        <v>2.1153846153846154</v>
      </c>
      <c r="I19">
        <v>1</v>
      </c>
      <c r="J19" t="s">
        <v>42</v>
      </c>
      <c r="K19" s="8">
        <v>16</v>
      </c>
      <c r="L19" s="8"/>
      <c r="M19" s="8"/>
    </row>
    <row r="20" spans="1:13" x14ac:dyDescent="0.35">
      <c r="I20">
        <v>2</v>
      </c>
      <c r="J20" t="s">
        <v>43</v>
      </c>
      <c r="K20" s="36">
        <f>K8/(SQRT(K19))</f>
        <v>3.125</v>
      </c>
      <c r="L20" s="31" t="e">
        <f>L8/(SQRT(L19))</f>
        <v>#DIV/0!</v>
      </c>
      <c r="M20" s="31" t="e">
        <f>M8/(SQRT(M19))</f>
        <v>#DIV/0!</v>
      </c>
    </row>
    <row r="21" spans="1:13" x14ac:dyDescent="0.35">
      <c r="I21">
        <v>3</v>
      </c>
      <c r="K21">
        <f>SQRT((K3-K8)^2/K19)</f>
        <v>14.125</v>
      </c>
      <c r="L21" t="e">
        <f>SQRT((L3-L8)^2/L19)</f>
        <v>#DIV/0!</v>
      </c>
      <c r="M21" t="e">
        <f>SQRT((M3-M8)^2/M19)</f>
        <v>#DIV/0!</v>
      </c>
    </row>
    <row r="22" spans="1:13" x14ac:dyDescent="0.35">
      <c r="I22">
        <v>4</v>
      </c>
    </row>
    <row r="23" spans="1:13" x14ac:dyDescent="0.35">
      <c r="A23" t="s">
        <v>44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I23">
        <v>5</v>
      </c>
    </row>
    <row r="24" spans="1:13" x14ac:dyDescent="0.35">
      <c r="A24">
        <v>-5</v>
      </c>
      <c r="B24">
        <v>0.875</v>
      </c>
      <c r="C24">
        <f>A24*B24</f>
        <v>-4.375</v>
      </c>
      <c r="E24">
        <f>(A24-D$27)^2*B24</f>
        <v>7.1571499999999988</v>
      </c>
      <c r="F24">
        <f>SUM(E24:E29)</f>
        <v>1169.2203999999999</v>
      </c>
      <c r="G24" s="38">
        <f>SQRT(F24)</f>
        <v>34.193864946800034</v>
      </c>
    </row>
    <row r="25" spans="1:13" x14ac:dyDescent="0.35">
      <c r="A25">
        <v>0</v>
      </c>
      <c r="B25">
        <v>0.104</v>
      </c>
      <c r="C25">
        <f>A25*B25</f>
        <v>0</v>
      </c>
      <c r="E25">
        <f t="shared" ref="E25:E29" si="0">(A25-D$27)^2*B25</f>
        <v>0.47627839999999999</v>
      </c>
    </row>
    <row r="26" spans="1:13" x14ac:dyDescent="0.35">
      <c r="A26">
        <v>15</v>
      </c>
      <c r="B26">
        <v>1.2E-2</v>
      </c>
      <c r="C26">
        <f>A26*B26</f>
        <v>0.18</v>
      </c>
      <c r="E26">
        <f t="shared" si="0"/>
        <v>3.5253552000000004</v>
      </c>
    </row>
    <row r="27" spans="1:13" x14ac:dyDescent="0.35">
      <c r="A27">
        <v>95</v>
      </c>
      <c r="B27">
        <v>5.0000000000000001E-3</v>
      </c>
      <c r="C27">
        <f t="shared" ref="C27:C29" si="1">A27*B27</f>
        <v>0.47500000000000003</v>
      </c>
      <c r="D27" s="38">
        <f>SUM(C24:C29)</f>
        <v>-2.14</v>
      </c>
      <c r="E27">
        <f t="shared" si="0"/>
        <v>47.180897999999999</v>
      </c>
      <c r="F27">
        <f>SUM(E24:E27)</f>
        <v>58.339681599999999</v>
      </c>
      <c r="G27">
        <f>SQRT(F27)</f>
        <v>7.6380417385610038</v>
      </c>
    </row>
    <row r="28" spans="1:13" x14ac:dyDescent="0.35">
      <c r="A28">
        <v>195</v>
      </c>
      <c r="B28">
        <v>3.0000000000000001E-3</v>
      </c>
      <c r="C28">
        <f t="shared" si="1"/>
        <v>0.58499999999999996</v>
      </c>
      <c r="D28">
        <f>SUM(C24:C29)</f>
        <v>-2.14</v>
      </c>
      <c r="E28">
        <f t="shared" si="0"/>
        <v>116.59253879999999</v>
      </c>
    </row>
    <row r="29" spans="1:13" x14ac:dyDescent="0.35">
      <c r="A29">
        <v>995</v>
      </c>
      <c r="B29">
        <v>1E-3</v>
      </c>
      <c r="C29">
        <f t="shared" si="1"/>
        <v>0.995</v>
      </c>
      <c r="E29">
        <f t="shared" si="0"/>
        <v>994.28817959999992</v>
      </c>
    </row>
    <row r="32" spans="1:13" x14ac:dyDescent="0.35">
      <c r="A32" s="39" t="s">
        <v>52</v>
      </c>
      <c r="B32" s="12" t="s">
        <v>53</v>
      </c>
      <c r="C32" s="12" t="s">
        <v>54</v>
      </c>
      <c r="D32" s="12" t="s">
        <v>55</v>
      </c>
      <c r="E32" s="12"/>
    </row>
    <row r="33" spans="1:5" x14ac:dyDescent="0.35">
      <c r="A33" s="12">
        <v>0</v>
      </c>
      <c r="B33" s="12">
        <v>97</v>
      </c>
      <c r="C33" s="12">
        <f>B33/$B$40</f>
        <v>0.60248447204968947</v>
      </c>
      <c r="D33" s="12">
        <f>A33*C33</f>
        <v>0</v>
      </c>
      <c r="E33" s="12"/>
    </row>
    <row r="34" spans="1:5" x14ac:dyDescent="0.35">
      <c r="A34" s="12">
        <v>1</v>
      </c>
      <c r="B34" s="12">
        <v>34</v>
      </c>
      <c r="C34" s="12">
        <f t="shared" ref="C34:C39" si="2">B34/$B$40</f>
        <v>0.21118012422360249</v>
      </c>
      <c r="D34" s="12">
        <f t="shared" ref="D34:D39" si="3">A34*C34</f>
        <v>0.21118012422360249</v>
      </c>
      <c r="E34" s="12"/>
    </row>
    <row r="35" spans="1:5" x14ac:dyDescent="0.35">
      <c r="A35" s="12">
        <v>2</v>
      </c>
      <c r="B35" s="12">
        <v>21</v>
      </c>
      <c r="C35" s="12">
        <f t="shared" si="2"/>
        <v>0.13043478260869565</v>
      </c>
      <c r="D35" s="12">
        <f t="shared" si="3"/>
        <v>0.2608695652173913</v>
      </c>
      <c r="E35" s="12"/>
    </row>
    <row r="36" spans="1:5" x14ac:dyDescent="0.35">
      <c r="A36" s="12">
        <v>3</v>
      </c>
      <c r="B36" s="12">
        <v>9</v>
      </c>
      <c r="C36" s="12">
        <f t="shared" si="2"/>
        <v>5.5900621118012424E-2</v>
      </c>
      <c r="D36" s="12">
        <f t="shared" si="3"/>
        <v>0.16770186335403728</v>
      </c>
      <c r="E36" s="12"/>
    </row>
    <row r="37" spans="1:5" x14ac:dyDescent="0.35">
      <c r="A37" s="12"/>
      <c r="B37" s="12"/>
      <c r="C37" s="12">
        <f t="shared" si="2"/>
        <v>0</v>
      </c>
      <c r="D37" s="12">
        <f t="shared" si="3"/>
        <v>0</v>
      </c>
      <c r="E37" s="12"/>
    </row>
    <row r="38" spans="1:5" x14ac:dyDescent="0.35">
      <c r="A38" s="12"/>
      <c r="B38" s="12"/>
      <c r="C38" s="12">
        <f t="shared" si="2"/>
        <v>0</v>
      </c>
      <c r="D38" s="12">
        <f t="shared" si="3"/>
        <v>0</v>
      </c>
      <c r="E38" s="12"/>
    </row>
    <row r="39" spans="1:5" x14ac:dyDescent="0.35">
      <c r="A39" s="12"/>
      <c r="B39" s="12"/>
      <c r="C39" s="12">
        <f t="shared" si="2"/>
        <v>0</v>
      </c>
      <c r="D39" s="12">
        <f t="shared" si="3"/>
        <v>0</v>
      </c>
      <c r="E39" s="12"/>
    </row>
    <row r="40" spans="1:5" x14ac:dyDescent="0.35">
      <c r="A40" s="12"/>
      <c r="B40" s="12">
        <f>SUM(B33:B39)</f>
        <v>161</v>
      </c>
      <c r="C40" s="40">
        <f>SUM(C37:C39)</f>
        <v>0</v>
      </c>
      <c r="D40" s="40">
        <f>SUM(D33:D39)</f>
        <v>0.63975155279503104</v>
      </c>
      <c r="E40" s="12" t="s">
        <v>56</v>
      </c>
    </row>
    <row r="42" spans="1:5" x14ac:dyDescent="0.35">
      <c r="B42">
        <f>_xlfn.BINOM.DIST.RANGE(539,0.83,437,463)</f>
        <v>0.86270569637256933</v>
      </c>
      <c r="D42">
        <f>(0*(73/200))+(1*(7/100))+(2*(7/200))+(3*(7/25))+(4*(23/200))+(5*(19/200))+(6*(1/40))+(7*(3/200))</f>
        <v>2.17</v>
      </c>
    </row>
    <row r="43" spans="1:5" x14ac:dyDescent="0.35">
      <c r="B43">
        <f>581*0.19</f>
        <v>110.39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DC3CC-1364-4842-A222-403C10A8EF57}">
  <dimension ref="A1:F68"/>
  <sheetViews>
    <sheetView topLeftCell="A54" workbookViewId="0">
      <selection activeCell="A73" sqref="A73"/>
    </sheetView>
  </sheetViews>
  <sheetFormatPr defaultRowHeight="14.5" x14ac:dyDescent="0.35"/>
  <sheetData>
    <row r="1" spans="1:6" x14ac:dyDescent="0.35">
      <c r="A1" t="s">
        <v>350</v>
      </c>
      <c r="B1" t="s">
        <v>346</v>
      </c>
      <c r="C1" t="s">
        <v>347</v>
      </c>
      <c r="D1" t="s">
        <v>348</v>
      </c>
      <c r="E1" t="s">
        <v>349</v>
      </c>
    </row>
    <row r="2" spans="1:6" x14ac:dyDescent="0.35">
      <c r="A2">
        <v>4</v>
      </c>
      <c r="B2">
        <v>12</v>
      </c>
      <c r="C2">
        <v>521</v>
      </c>
      <c r="D2">
        <v>113</v>
      </c>
      <c r="E2">
        <v>646</v>
      </c>
    </row>
    <row r="3" spans="1:6" x14ac:dyDescent="0.35">
      <c r="A3">
        <v>6</v>
      </c>
      <c r="B3">
        <v>12</v>
      </c>
      <c r="C3">
        <v>195</v>
      </c>
      <c r="D3">
        <v>204</v>
      </c>
      <c r="E3">
        <v>411</v>
      </c>
    </row>
    <row r="4" spans="1:6" x14ac:dyDescent="0.35">
      <c r="A4">
        <v>8</v>
      </c>
      <c r="B4">
        <v>10</v>
      </c>
      <c r="C4">
        <v>7</v>
      </c>
      <c r="D4">
        <v>176</v>
      </c>
      <c r="E4">
        <v>193</v>
      </c>
    </row>
    <row r="5" spans="1:6" x14ac:dyDescent="0.35">
      <c r="A5" t="s">
        <v>349</v>
      </c>
      <c r="B5">
        <f>SUM(B2:B4)</f>
        <v>34</v>
      </c>
      <c r="C5">
        <v>723</v>
      </c>
      <c r="D5">
        <v>493</v>
      </c>
      <c r="E5">
        <v>1250</v>
      </c>
    </row>
    <row r="8" spans="1:6" x14ac:dyDescent="0.35">
      <c r="E8">
        <f>(E2/E5)+(C5/E5)-(C2/E5)</f>
        <v>0.67840000000000011</v>
      </c>
      <c r="F8">
        <f>C2/C5</f>
        <v>0.72060857538035961</v>
      </c>
    </row>
    <row r="9" spans="1:6" x14ac:dyDescent="0.35">
      <c r="A9" t="s">
        <v>351</v>
      </c>
      <c r="E9">
        <f>(B5/E5)+(E4/E5)-(B4/E5)</f>
        <v>0.1736</v>
      </c>
      <c r="F9">
        <f>B4/E4</f>
        <v>5.181347150259067E-2</v>
      </c>
    </row>
    <row r="10" spans="1:6" x14ac:dyDescent="0.35">
      <c r="A10" t="s">
        <v>352</v>
      </c>
      <c r="E10">
        <f>(D5/E5)+(E3/E5)-(D3/E5)</f>
        <v>0.55999999999999994</v>
      </c>
      <c r="F10">
        <f>(D3/D5)</f>
        <v>0.41379310344827586</v>
      </c>
    </row>
    <row r="14" spans="1:6" x14ac:dyDescent="0.35">
      <c r="A14" t="s">
        <v>353</v>
      </c>
    </row>
    <row r="15" spans="1:6" x14ac:dyDescent="0.35">
      <c r="A15">
        <v>65</v>
      </c>
      <c r="B15">
        <f>1.727*A15+64.05</f>
        <v>176.30500000000001</v>
      </c>
      <c r="C15">
        <v>181</v>
      </c>
      <c r="D15">
        <f>C15-B15</f>
        <v>4.6949999999999932</v>
      </c>
    </row>
    <row r="17" spans="1:3" x14ac:dyDescent="0.35">
      <c r="A17" t="s">
        <v>354</v>
      </c>
    </row>
    <row r="18" spans="1:3" x14ac:dyDescent="0.35">
      <c r="A18" t="s">
        <v>355</v>
      </c>
    </row>
    <row r="19" spans="1:3" x14ac:dyDescent="0.35">
      <c r="A19">
        <f>_xlfn.BINOM.DIST.RANGE(76,0.06,7,76)</f>
        <v>0.1707796285785701</v>
      </c>
    </row>
    <row r="26" spans="1:3" x14ac:dyDescent="0.35">
      <c r="A26" t="s">
        <v>30</v>
      </c>
      <c r="B26">
        <v>0.18</v>
      </c>
    </row>
    <row r="27" spans="1:3" x14ac:dyDescent="0.35">
      <c r="A27" t="s">
        <v>356</v>
      </c>
      <c r="B27">
        <v>10</v>
      </c>
    </row>
    <row r="28" spans="1:3" x14ac:dyDescent="0.35">
      <c r="A28" t="s">
        <v>6</v>
      </c>
    </row>
    <row r="30" spans="1:3" x14ac:dyDescent="0.35">
      <c r="A30" t="s">
        <v>357</v>
      </c>
    </row>
    <row r="31" spans="1:3" x14ac:dyDescent="0.35">
      <c r="A31" t="s">
        <v>6</v>
      </c>
      <c r="B31">
        <v>10</v>
      </c>
    </row>
    <row r="32" spans="1:3" x14ac:dyDescent="0.35">
      <c r="A32" t="s">
        <v>358</v>
      </c>
      <c r="B32">
        <v>1.7789999999999999</v>
      </c>
      <c r="C32">
        <f>(_xlfn.T.DIST.RT(B32,B31-1))*2</f>
        <v>0.10894810169110178</v>
      </c>
    </row>
    <row r="33" spans="1:3" x14ac:dyDescent="0.35">
      <c r="C33">
        <f>_xlfn.T.DIST.2T(1.779,9)</f>
        <v>0.10894810169110178</v>
      </c>
    </row>
    <row r="35" spans="1:3" x14ac:dyDescent="0.35">
      <c r="A35" t="s">
        <v>359</v>
      </c>
    </row>
    <row r="36" spans="1:3" x14ac:dyDescent="0.35">
      <c r="A36">
        <v>6</v>
      </c>
      <c r="B36">
        <v>2.29</v>
      </c>
    </row>
    <row r="37" spans="1:3" x14ac:dyDescent="0.35">
      <c r="A37">
        <v>6</v>
      </c>
      <c r="B37">
        <f>0.65*A37+1.59</f>
        <v>5.49</v>
      </c>
      <c r="C37">
        <f>B36-B37</f>
        <v>-3.2</v>
      </c>
    </row>
    <row r="48" spans="1:3" x14ac:dyDescent="0.35">
      <c r="A48" t="s">
        <v>361</v>
      </c>
      <c r="C48">
        <f>(0.99-1.17)/0.13</f>
        <v>-1.3846153846153841</v>
      </c>
    </row>
    <row r="49" spans="1:5" x14ac:dyDescent="0.35">
      <c r="A49">
        <f>1.17-0.13*2</f>
        <v>0.90999999999999992</v>
      </c>
      <c r="B49">
        <f>1.17-0.13</f>
        <v>1.04</v>
      </c>
      <c r="C49">
        <v>1.17</v>
      </c>
      <c r="D49">
        <f>C49+0.13</f>
        <v>1.2999999999999998</v>
      </c>
      <c r="E49">
        <f>C49+0.13*2</f>
        <v>1.43</v>
      </c>
    </row>
    <row r="50" spans="1:5" x14ac:dyDescent="0.35">
      <c r="A50" t="s">
        <v>360</v>
      </c>
      <c r="C50">
        <f>(1.69-1.72)/0.21</f>
        <v>-0.14285714285714299</v>
      </c>
    </row>
    <row r="51" spans="1:5" x14ac:dyDescent="0.35">
      <c r="A51">
        <f>C51-0.21*2</f>
        <v>1.3</v>
      </c>
      <c r="B51">
        <f>1.72-0.21</f>
        <v>1.51</v>
      </c>
      <c r="C51">
        <v>1.72</v>
      </c>
      <c r="D51">
        <f>C51+0.21</f>
        <v>1.93</v>
      </c>
      <c r="E51">
        <f>C51+0.21*2</f>
        <v>2.14</v>
      </c>
    </row>
    <row r="55" spans="1:5" x14ac:dyDescent="0.35">
      <c r="A55" t="s">
        <v>362</v>
      </c>
      <c r="C55">
        <f>250*0.72</f>
        <v>180</v>
      </c>
    </row>
    <row r="65" spans="1:2" x14ac:dyDescent="0.35">
      <c r="A65">
        <v>0</v>
      </c>
      <c r="B65">
        <v>97</v>
      </c>
    </row>
    <row r="66" spans="1:2" x14ac:dyDescent="0.35">
      <c r="A66">
        <v>1</v>
      </c>
      <c r="B66">
        <v>34</v>
      </c>
    </row>
    <row r="67" spans="1:2" x14ac:dyDescent="0.35">
      <c r="A67">
        <v>2</v>
      </c>
      <c r="B67">
        <v>21</v>
      </c>
    </row>
    <row r="68" spans="1:2" x14ac:dyDescent="0.35">
      <c r="A68">
        <v>3</v>
      </c>
      <c r="B68">
        <v>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0A178-B122-4726-8CDC-AAFFCAFEE539}">
  <dimension ref="A1:K47"/>
  <sheetViews>
    <sheetView tabSelected="1" zoomScaleNormal="100" workbookViewId="0">
      <selection activeCell="B1" sqref="B1"/>
    </sheetView>
  </sheetViews>
  <sheetFormatPr defaultRowHeight="14.5" x14ac:dyDescent="0.35"/>
  <cols>
    <col min="1" max="1" width="24.7265625" customWidth="1"/>
    <col min="2" max="2" width="10.26953125" customWidth="1"/>
    <col min="5" max="5" width="10.36328125" customWidth="1"/>
  </cols>
  <sheetData>
    <row r="1" spans="1:11" x14ac:dyDescent="0.35">
      <c r="A1" s="14" t="s">
        <v>0</v>
      </c>
      <c r="B1" s="15">
        <f>B9</f>
        <v>5.3333333333333337E-2</v>
      </c>
      <c r="C1" s="1">
        <f t="shared" ref="C1:D1" si="0">C9</f>
        <v>3.3766233766233766E-3</v>
      </c>
      <c r="D1" s="1">
        <f t="shared" si="0"/>
        <v>8.7638240740740725E-2</v>
      </c>
      <c r="E1" s="1">
        <v>0.43640000000000001</v>
      </c>
      <c r="F1" s="1">
        <v>0.85</v>
      </c>
      <c r="G1" s="1">
        <f t="shared" ref="G1:H1" si="1">G9</f>
        <v>0.12258064516129033</v>
      </c>
      <c r="H1" s="1">
        <f t="shared" si="1"/>
        <v>0.5625</v>
      </c>
      <c r="I1" s="1">
        <f t="shared" ref="I1:J1" si="2">I9</f>
        <v>0.25778000000000001</v>
      </c>
      <c r="J1" s="1">
        <f t="shared" si="2"/>
        <v>3.0716000000000001</v>
      </c>
      <c r="K1" s="1"/>
    </row>
    <row r="2" spans="1:11" x14ac:dyDescent="0.35">
      <c r="A2" s="14" t="s">
        <v>1</v>
      </c>
      <c r="B2" s="16">
        <f t="shared" ref="B2:J2" si="3">1-B1</f>
        <v>0.94666666666666666</v>
      </c>
      <c r="C2">
        <f t="shared" si="3"/>
        <v>0.99662337662337663</v>
      </c>
      <c r="D2">
        <f t="shared" si="3"/>
        <v>0.91236175925925922</v>
      </c>
      <c r="E2">
        <f t="shared" si="3"/>
        <v>0.56359999999999999</v>
      </c>
      <c r="F2">
        <f t="shared" si="3"/>
        <v>0.15000000000000002</v>
      </c>
      <c r="G2">
        <f t="shared" si="3"/>
        <v>0.8774193548387097</v>
      </c>
      <c r="H2">
        <f t="shared" si="3"/>
        <v>0.4375</v>
      </c>
      <c r="I2">
        <f t="shared" si="3"/>
        <v>0.74221999999999999</v>
      </c>
      <c r="J2">
        <f t="shared" si="3"/>
        <v>-2.0716000000000001</v>
      </c>
    </row>
    <row r="3" spans="1:11" ht="16.5" x14ac:dyDescent="0.35">
      <c r="A3" s="17" t="s">
        <v>15</v>
      </c>
      <c r="B3" s="19">
        <v>0.95</v>
      </c>
      <c r="C3" s="3"/>
      <c r="E3">
        <v>0.9</v>
      </c>
      <c r="F3">
        <v>0.95</v>
      </c>
    </row>
    <row r="4" spans="1:11" ht="17" thickBot="1" x14ac:dyDescent="0.4">
      <c r="A4" s="17" t="s">
        <v>16</v>
      </c>
      <c r="B4" s="16"/>
      <c r="C4">
        <v>0.9</v>
      </c>
      <c r="D4">
        <v>0.1</v>
      </c>
      <c r="G4">
        <v>0.99</v>
      </c>
      <c r="H4">
        <v>0.9</v>
      </c>
      <c r="I4">
        <v>0.99</v>
      </c>
      <c r="J4">
        <v>0.95</v>
      </c>
    </row>
    <row r="5" spans="1:11" ht="17" thickBot="1" x14ac:dyDescent="0.4">
      <c r="A5" s="24" t="s">
        <v>4</v>
      </c>
      <c r="B5" s="52">
        <v>8</v>
      </c>
      <c r="C5" s="52">
        <v>5.2</v>
      </c>
      <c r="D5" s="52">
        <f>B25</f>
        <v>1.5774883333333332</v>
      </c>
      <c r="E5" s="52"/>
      <c r="F5" s="52"/>
      <c r="G5" s="52">
        <v>26.6</v>
      </c>
      <c r="H5" s="52">
        <v>6.75</v>
      </c>
      <c r="I5" s="52">
        <v>3.8666999999999998</v>
      </c>
      <c r="J5" s="53">
        <v>153.58000000000001</v>
      </c>
    </row>
    <row r="6" spans="1:11" ht="16.5" x14ac:dyDescent="0.35">
      <c r="A6" s="17" t="s">
        <v>2</v>
      </c>
      <c r="B6" s="16"/>
    </row>
    <row r="7" spans="1:11" ht="16.5" x14ac:dyDescent="0.35">
      <c r="A7" s="13" t="s">
        <v>14</v>
      </c>
      <c r="B7" s="12"/>
      <c r="C7" s="12">
        <v>4.75</v>
      </c>
      <c r="D7" s="12">
        <f>B26</f>
        <v>0.13831252991812756</v>
      </c>
      <c r="E7" s="12"/>
      <c r="F7" s="12"/>
      <c r="G7" s="12">
        <v>7.5</v>
      </c>
      <c r="H7" s="12">
        <v>2.3788999999999998</v>
      </c>
      <c r="I7" s="12">
        <v>0.52869999999999995</v>
      </c>
      <c r="J7" s="12">
        <v>50.032699999999998</v>
      </c>
    </row>
    <row r="8" spans="1:11" x14ac:dyDescent="0.35">
      <c r="A8" s="13" t="s">
        <v>6</v>
      </c>
      <c r="B8" s="50">
        <v>150</v>
      </c>
      <c r="C8" s="50">
        <v>1540</v>
      </c>
      <c r="D8" s="50">
        <f>B24</f>
        <v>18</v>
      </c>
      <c r="E8" s="50"/>
      <c r="F8" s="50"/>
      <c r="G8" s="50">
        <v>217</v>
      </c>
      <c r="H8" s="50">
        <v>12</v>
      </c>
      <c r="I8" s="50">
        <v>15</v>
      </c>
      <c r="J8" s="50">
        <v>50</v>
      </c>
    </row>
    <row r="9" spans="1:11" x14ac:dyDescent="0.35">
      <c r="A9" s="17" t="s">
        <v>5</v>
      </c>
      <c r="B9" s="18">
        <f t="shared" ref="B9:J9" si="4">B5/B8</f>
        <v>5.3333333333333337E-2</v>
      </c>
      <c r="C9" s="4">
        <f t="shared" si="4"/>
        <v>3.3766233766233766E-3</v>
      </c>
      <c r="D9" s="4">
        <f t="shared" si="4"/>
        <v>8.7638240740740725E-2</v>
      </c>
      <c r="E9" s="4" t="e">
        <f t="shared" si="4"/>
        <v>#DIV/0!</v>
      </c>
      <c r="F9" s="4" t="e">
        <f t="shared" si="4"/>
        <v>#DIV/0!</v>
      </c>
      <c r="G9" s="4">
        <f t="shared" si="4"/>
        <v>0.12258064516129033</v>
      </c>
      <c r="H9" s="4">
        <f t="shared" si="4"/>
        <v>0.5625</v>
      </c>
      <c r="I9" s="4">
        <f t="shared" si="4"/>
        <v>0.25778000000000001</v>
      </c>
      <c r="J9" s="4">
        <f t="shared" si="4"/>
        <v>3.0716000000000001</v>
      </c>
      <c r="K9" s="1"/>
    </row>
    <row r="10" spans="1:11" x14ac:dyDescent="0.35">
      <c r="A10" s="17" t="s">
        <v>7</v>
      </c>
      <c r="B10" s="15">
        <f t="shared" ref="B10:J10" si="5">-_xlfn.NORM.S.INV((1-(B3))/2)</f>
        <v>1.9599639845400536</v>
      </c>
      <c r="C10" s="3">
        <f t="shared" si="5"/>
        <v>0</v>
      </c>
      <c r="D10" s="3">
        <f t="shared" si="5"/>
        <v>0</v>
      </c>
      <c r="E10" s="3">
        <f t="shared" si="5"/>
        <v>1.6448536269514726</v>
      </c>
      <c r="F10" s="3">
        <f t="shared" si="5"/>
        <v>1.9599639845400536</v>
      </c>
      <c r="G10" s="3">
        <f t="shared" si="5"/>
        <v>0</v>
      </c>
      <c r="H10" s="3">
        <f t="shared" si="5"/>
        <v>0</v>
      </c>
      <c r="I10" s="3">
        <f t="shared" si="5"/>
        <v>0</v>
      </c>
      <c r="J10" s="3">
        <f t="shared" si="5"/>
        <v>0</v>
      </c>
      <c r="K10" s="1"/>
    </row>
    <row r="11" spans="1:11" x14ac:dyDescent="0.35">
      <c r="A11" s="17" t="s">
        <v>8</v>
      </c>
      <c r="B11" s="19">
        <f t="shared" ref="B11:J11" si="6">-_xlfn.T.INV((1-B4)/2,B8-1)</f>
        <v>0</v>
      </c>
      <c r="C11" s="3">
        <f t="shared" si="6"/>
        <v>1.6458443302468608</v>
      </c>
      <c r="D11" s="3">
        <f t="shared" si="6"/>
        <v>0.1275522340106556</v>
      </c>
      <c r="E11" s="3" t="e">
        <f t="shared" si="6"/>
        <v>#NUM!</v>
      </c>
      <c r="F11" s="3" t="e">
        <f t="shared" si="6"/>
        <v>#NUM!</v>
      </c>
      <c r="G11" s="3">
        <f t="shared" si="6"/>
        <v>2.5987816682219123</v>
      </c>
      <c r="H11" s="3">
        <f t="shared" si="6"/>
        <v>1.7958848187040437</v>
      </c>
      <c r="I11" s="3">
        <f t="shared" si="6"/>
        <v>2.9768427343708344</v>
      </c>
      <c r="J11" s="3">
        <f t="shared" si="6"/>
        <v>2.0095752371292388</v>
      </c>
      <c r="K11" s="1"/>
    </row>
    <row r="12" spans="1:11" ht="16.5" x14ac:dyDescent="0.35">
      <c r="A12" s="17" t="s">
        <v>13</v>
      </c>
      <c r="B12" s="20">
        <f t="shared" ref="B12:J12" si="7">IF(B7&gt;0,IF(B10&gt;B11,B10*(B7/SQRT(B8)),B11*(B7/SQRT(B8))),B10*SQRT(B9*(1-B9)/B8))</f>
        <v>3.5958400740232009E-2</v>
      </c>
      <c r="C12" s="20">
        <f t="shared" si="7"/>
        <v>0.19921498585778996</v>
      </c>
      <c r="D12" s="20">
        <f t="shared" si="7"/>
        <v>4.1582762915286188E-3</v>
      </c>
      <c r="E12" s="20" t="e">
        <f t="shared" si="7"/>
        <v>#DIV/0!</v>
      </c>
      <c r="F12" s="20" t="e">
        <f t="shared" si="7"/>
        <v>#DIV/0!</v>
      </c>
      <c r="G12" s="20">
        <f t="shared" si="7"/>
        <v>1.3231259618128022</v>
      </c>
      <c r="H12" s="20">
        <f t="shared" si="7"/>
        <v>1.2332866843587551</v>
      </c>
      <c r="I12" s="20">
        <f t="shared" si="7"/>
        <v>0.40636806641656353</v>
      </c>
      <c r="J12" s="20">
        <f t="shared" si="7"/>
        <v>14.219136011961199</v>
      </c>
      <c r="K12" s="1"/>
    </row>
    <row r="13" spans="1:11" ht="16.5" x14ac:dyDescent="0.35">
      <c r="A13" s="17" t="s">
        <v>19</v>
      </c>
      <c r="B13" s="21">
        <f>IF(B3&gt;0,B10*SQRT(B1*B2/B8),B11*B7/SQRT(B8))</f>
        <v>3.5958400740232009E-2</v>
      </c>
      <c r="C13" s="9">
        <f t="shared" ref="C13:J13" si="8">IF(C3&gt;C4,C10*SQRT(C1*C2/C8),C11*C7/SQRT(C8))</f>
        <v>0.19921498585778996</v>
      </c>
      <c r="D13" s="9">
        <f t="shared" si="8"/>
        <v>4.1582762915286188E-3</v>
      </c>
      <c r="E13" s="9" t="e">
        <f t="shared" si="8"/>
        <v>#DIV/0!</v>
      </c>
      <c r="F13" s="9" t="e">
        <f t="shared" si="8"/>
        <v>#DIV/0!</v>
      </c>
      <c r="G13" s="9">
        <f t="shared" si="8"/>
        <v>1.3231259618128022</v>
      </c>
      <c r="H13" s="9">
        <f t="shared" si="8"/>
        <v>1.2332866843587551</v>
      </c>
      <c r="I13" s="9">
        <f t="shared" si="8"/>
        <v>0.40636806641656348</v>
      </c>
      <c r="J13" s="9">
        <f t="shared" si="8"/>
        <v>14.219136011961201</v>
      </c>
    </row>
    <row r="14" spans="1:11" x14ac:dyDescent="0.35">
      <c r="A14" s="17" t="s">
        <v>9</v>
      </c>
      <c r="B14" s="43">
        <f>IF(B3&gt;0,(B$9-B$13),0)</f>
        <v>1.7374932593101328E-2</v>
      </c>
      <c r="C14" s="92">
        <f t="shared" ref="C14:J14" si="9">IF(C3&gt;0,(C9-C$13),0)</f>
        <v>0</v>
      </c>
      <c r="D14" s="7">
        <f t="shared" si="9"/>
        <v>0</v>
      </c>
      <c r="E14" s="7" t="e">
        <f t="shared" si="9"/>
        <v>#DIV/0!</v>
      </c>
      <c r="F14" s="7" t="e">
        <f t="shared" si="9"/>
        <v>#DIV/0!</v>
      </c>
      <c r="G14" s="7">
        <f t="shared" si="9"/>
        <v>0</v>
      </c>
      <c r="H14" s="7">
        <f t="shared" si="9"/>
        <v>0</v>
      </c>
      <c r="I14" s="7">
        <f t="shared" si="9"/>
        <v>0</v>
      </c>
      <c r="J14" s="7">
        <f t="shared" si="9"/>
        <v>0</v>
      </c>
    </row>
    <row r="15" spans="1:11" x14ac:dyDescent="0.35">
      <c r="A15" s="17" t="s">
        <v>10</v>
      </c>
      <c r="B15" s="43">
        <f>IF(B3&gt;0,(B$9+B$13),"0")</f>
        <v>8.9291734073565346E-2</v>
      </c>
      <c r="C15" s="92" t="str">
        <f t="shared" ref="C15:J15" si="10">IF(C$3&gt;0,(C$9+C$13),"0")</f>
        <v>0</v>
      </c>
      <c r="D15" s="7" t="str">
        <f t="shared" si="10"/>
        <v>0</v>
      </c>
      <c r="E15" s="7" t="e">
        <f t="shared" si="10"/>
        <v>#DIV/0!</v>
      </c>
      <c r="F15" s="7" t="e">
        <f t="shared" si="10"/>
        <v>#DIV/0!</v>
      </c>
      <c r="G15" s="7" t="str">
        <f t="shared" si="10"/>
        <v>0</v>
      </c>
      <c r="H15" s="7" t="str">
        <f t="shared" si="10"/>
        <v>0</v>
      </c>
      <c r="I15" s="7" t="str">
        <f t="shared" si="10"/>
        <v>0</v>
      </c>
      <c r="J15" s="7" t="str">
        <f t="shared" si="10"/>
        <v>0</v>
      </c>
    </row>
    <row r="16" spans="1:11" ht="16.5" x14ac:dyDescent="0.35">
      <c r="A16" s="17" t="s">
        <v>17</v>
      </c>
      <c r="B16" s="41">
        <f>IF(B$7&gt;0,(B$5-B$12),0)</f>
        <v>0</v>
      </c>
      <c r="C16" s="5">
        <f t="shared" ref="C16:J16" si="11">IF(C$11&gt;0,(C$5-C$12),0)</f>
        <v>5.0007850141422105</v>
      </c>
      <c r="D16" s="5">
        <f t="shared" si="11"/>
        <v>1.5733300570418045</v>
      </c>
      <c r="E16" s="5" t="e">
        <f t="shared" si="11"/>
        <v>#NUM!</v>
      </c>
      <c r="F16" s="11" t="e">
        <f t="shared" si="11"/>
        <v>#NUM!</v>
      </c>
      <c r="G16" s="10">
        <f t="shared" si="11"/>
        <v>25.276874038187199</v>
      </c>
      <c r="H16" s="11">
        <f t="shared" si="11"/>
        <v>5.5167133156412449</v>
      </c>
      <c r="I16" s="10">
        <f t="shared" si="11"/>
        <v>3.4603319335834364</v>
      </c>
      <c r="J16" s="11">
        <f t="shared" si="11"/>
        <v>139.3608639880388</v>
      </c>
    </row>
    <row r="17" spans="1:10" ht="16.5" x14ac:dyDescent="0.35">
      <c r="A17" s="17" t="s">
        <v>18</v>
      </c>
      <c r="B17" s="41">
        <f>IF(B$7&gt;0,(B$5+B$12),0)</f>
        <v>0</v>
      </c>
      <c r="C17" s="6">
        <f t="shared" ref="C17:J17" si="12">IF(C$11&gt;0,(C$5+C$12),0)</f>
        <v>5.3992149858577898</v>
      </c>
      <c r="D17" s="6">
        <f t="shared" si="12"/>
        <v>1.5816466096248618</v>
      </c>
      <c r="E17" s="6" t="e">
        <f t="shared" si="12"/>
        <v>#NUM!</v>
      </c>
      <c r="F17" s="11" t="e">
        <f t="shared" si="12"/>
        <v>#NUM!</v>
      </c>
      <c r="G17" s="10">
        <f t="shared" si="12"/>
        <v>27.923125961812804</v>
      </c>
      <c r="H17" s="11">
        <f t="shared" si="12"/>
        <v>7.9832866843587551</v>
      </c>
      <c r="I17" s="10">
        <f t="shared" si="12"/>
        <v>4.2730680664165632</v>
      </c>
      <c r="J17" s="11">
        <f t="shared" si="12"/>
        <v>167.79913601196122</v>
      </c>
    </row>
    <row r="18" spans="1:10" ht="16.5" x14ac:dyDescent="0.35">
      <c r="A18" s="17" t="s">
        <v>11</v>
      </c>
      <c r="B18" s="23">
        <f t="shared" ref="B18:J18" si="13">(B10^2*B1*(1-B1))/B20^2</f>
        <v>121.21936723079234</v>
      </c>
      <c r="C18" s="8">
        <f t="shared" si="13"/>
        <v>0</v>
      </c>
      <c r="D18" s="8">
        <f t="shared" si="13"/>
        <v>0</v>
      </c>
      <c r="E18" s="8">
        <f t="shared" si="13"/>
        <v>266.17681938951023</v>
      </c>
      <c r="F18" s="8">
        <f t="shared" si="13"/>
        <v>195.91439985540029</v>
      </c>
      <c r="G18" s="8">
        <f t="shared" si="13"/>
        <v>0</v>
      </c>
      <c r="H18" s="8">
        <f t="shared" si="13"/>
        <v>0</v>
      </c>
      <c r="I18" s="8">
        <f t="shared" si="13"/>
        <v>0</v>
      </c>
      <c r="J18" s="8">
        <f t="shared" si="13"/>
        <v>0</v>
      </c>
    </row>
    <row r="19" spans="1:10" ht="16.5" x14ac:dyDescent="0.35">
      <c r="A19" s="17" t="s">
        <v>12</v>
      </c>
      <c r="B19" s="19">
        <f t="shared" ref="B19:J19" si="14">(B10^2*0.25)/B20^2</f>
        <v>600.22794073345676</v>
      </c>
      <c r="C19" s="8">
        <f t="shared" si="14"/>
        <v>0</v>
      </c>
      <c r="D19" s="8">
        <f t="shared" si="14"/>
        <v>0</v>
      </c>
      <c r="E19" s="8">
        <f t="shared" si="14"/>
        <v>270.55434540954138</v>
      </c>
      <c r="F19" s="8">
        <f t="shared" si="14"/>
        <v>384.14588206941227</v>
      </c>
      <c r="G19" s="8">
        <f t="shared" si="14"/>
        <v>0</v>
      </c>
      <c r="H19" s="8">
        <f t="shared" si="14"/>
        <v>0</v>
      </c>
      <c r="I19" s="8">
        <f t="shared" si="14"/>
        <v>0</v>
      </c>
      <c r="J19" s="8">
        <f t="shared" si="14"/>
        <v>0</v>
      </c>
    </row>
    <row r="20" spans="1:10" ht="16.5" x14ac:dyDescent="0.35">
      <c r="A20" s="17" t="s">
        <v>3</v>
      </c>
      <c r="B20" s="16">
        <v>0.04</v>
      </c>
      <c r="C20">
        <v>0.05</v>
      </c>
      <c r="D20">
        <v>0.05</v>
      </c>
      <c r="E20">
        <v>0.05</v>
      </c>
      <c r="F20">
        <v>0.05</v>
      </c>
      <c r="G20">
        <v>0.05</v>
      </c>
      <c r="H20">
        <v>0.05</v>
      </c>
      <c r="I20">
        <v>0.05</v>
      </c>
      <c r="J20">
        <v>0.05</v>
      </c>
    </row>
    <row r="21" spans="1:10" x14ac:dyDescent="0.35">
      <c r="A21" s="16"/>
      <c r="B21" s="16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</row>
    <row r="22" spans="1:10" x14ac:dyDescent="0.35">
      <c r="B22" s="44"/>
      <c r="C22" s="44"/>
    </row>
    <row r="23" spans="1:10" x14ac:dyDescent="0.35">
      <c r="A23">
        <f>_xlfn.STDEV.S(0.95,1500)</f>
        <v>1059.9884203376939</v>
      </c>
    </row>
    <row r="24" spans="1:10" x14ac:dyDescent="0.35">
      <c r="A24" s="42" t="s">
        <v>85</v>
      </c>
      <c r="B24">
        <f>COUNT(B28:B101)</f>
        <v>18</v>
      </c>
      <c r="C24">
        <f>COUNT(C28:C101)</f>
        <v>0</v>
      </c>
      <c r="D24">
        <f>COUNTIF(D28:D47,1)</f>
        <v>18</v>
      </c>
    </row>
    <row r="25" spans="1:10" x14ac:dyDescent="0.35">
      <c r="A25" s="42" t="s">
        <v>86</v>
      </c>
      <c r="B25">
        <f>AVERAGE(B28:B101)</f>
        <v>1.5774883333333332</v>
      </c>
      <c r="C25" t="e">
        <f>AVERAGE(C28:C101)</f>
        <v>#DIV/0!</v>
      </c>
    </row>
    <row r="26" spans="1:10" x14ac:dyDescent="0.35">
      <c r="A26" s="42" t="s">
        <v>84</v>
      </c>
      <c r="B26">
        <f>_xlfn.STDEV.S(B28:B101)</f>
        <v>0.13831252991812756</v>
      </c>
      <c r="C26" t="e">
        <f>_xlfn.STDEV.S(C28:C101)</f>
        <v>#DIV/0!</v>
      </c>
    </row>
    <row r="27" spans="1:10" x14ac:dyDescent="0.35">
      <c r="B27" t="s">
        <v>59</v>
      </c>
      <c r="C27" t="s">
        <v>60</v>
      </c>
    </row>
    <row r="28" spans="1:10" x14ac:dyDescent="0.35">
      <c r="B28">
        <v>1.4430000000000001</v>
      </c>
      <c r="D28">
        <f>IF(B28&gt;C28,1,0)</f>
        <v>1</v>
      </c>
    </row>
    <row r="29" spans="1:10" x14ac:dyDescent="0.35">
      <c r="B29">
        <v>1.6638900000000001</v>
      </c>
      <c r="D29">
        <f t="shared" ref="D29:D47" si="15">IF(B29&gt;C29,1,0)</f>
        <v>1</v>
      </c>
    </row>
    <row r="30" spans="1:10" x14ac:dyDescent="0.35">
      <c r="B30">
        <v>1.51057</v>
      </c>
      <c r="D30">
        <f t="shared" si="15"/>
        <v>1</v>
      </c>
    </row>
    <row r="31" spans="1:10" x14ac:dyDescent="0.35">
      <c r="B31">
        <v>1.73611</v>
      </c>
      <c r="D31">
        <f t="shared" si="15"/>
        <v>1</v>
      </c>
    </row>
    <row r="32" spans="1:10" x14ac:dyDescent="0.35">
      <c r="B32">
        <v>1.4492799999999999</v>
      </c>
      <c r="D32">
        <f t="shared" si="15"/>
        <v>1</v>
      </c>
    </row>
    <row r="33" spans="2:4" x14ac:dyDescent="0.35">
      <c r="B33">
        <v>1.49254</v>
      </c>
      <c r="D33">
        <f t="shared" si="15"/>
        <v>1</v>
      </c>
    </row>
    <row r="34" spans="2:4" x14ac:dyDescent="0.35">
      <c r="B34">
        <v>1.6501699999999999</v>
      </c>
      <c r="D34">
        <f t="shared" si="15"/>
        <v>1</v>
      </c>
    </row>
    <row r="35" spans="2:4" x14ac:dyDescent="0.35">
      <c r="B35">
        <v>1.6501699999999999</v>
      </c>
      <c r="D35">
        <f t="shared" si="15"/>
        <v>1</v>
      </c>
    </row>
    <row r="36" spans="2:4" x14ac:dyDescent="0.35">
      <c r="B36">
        <v>1.7543899999999999</v>
      </c>
      <c r="D36">
        <f t="shared" si="15"/>
        <v>1</v>
      </c>
    </row>
    <row r="37" spans="2:4" x14ac:dyDescent="0.35">
      <c r="B37">
        <v>1.63666</v>
      </c>
      <c r="D37">
        <f t="shared" si="15"/>
        <v>1</v>
      </c>
    </row>
    <row r="38" spans="2:4" x14ac:dyDescent="0.35">
      <c r="B38">
        <v>1.2251099999999999</v>
      </c>
      <c r="D38">
        <f t="shared" si="15"/>
        <v>1</v>
      </c>
    </row>
    <row r="39" spans="2:4" x14ac:dyDescent="0.35">
      <c r="B39">
        <v>1.8083199999999999</v>
      </c>
      <c r="D39">
        <f t="shared" si="15"/>
        <v>1</v>
      </c>
    </row>
    <row r="40" spans="2:4" x14ac:dyDescent="0.35">
      <c r="B40">
        <v>1.59236</v>
      </c>
      <c r="D40">
        <f t="shared" si="15"/>
        <v>1</v>
      </c>
    </row>
    <row r="41" spans="2:4" x14ac:dyDescent="0.35">
      <c r="B41">
        <v>1.62602</v>
      </c>
      <c r="D41">
        <f t="shared" si="15"/>
        <v>1</v>
      </c>
    </row>
    <row r="42" spans="2:4" x14ac:dyDescent="0.35">
      <c r="B42">
        <v>1.6420399999999999</v>
      </c>
      <c r="D42">
        <f t="shared" si="15"/>
        <v>1</v>
      </c>
    </row>
    <row r="43" spans="2:4" x14ac:dyDescent="0.35">
      <c r="B43">
        <v>1.49701</v>
      </c>
      <c r="D43">
        <f t="shared" si="15"/>
        <v>1</v>
      </c>
    </row>
    <row r="44" spans="2:4" x14ac:dyDescent="0.35">
      <c r="B44">
        <v>1.52905</v>
      </c>
      <c r="D44">
        <f t="shared" si="15"/>
        <v>1</v>
      </c>
    </row>
    <row r="45" spans="2:4" x14ac:dyDescent="0.35">
      <c r="B45">
        <v>1.4881</v>
      </c>
      <c r="D45">
        <f t="shared" si="15"/>
        <v>1</v>
      </c>
    </row>
    <row r="46" spans="2:4" x14ac:dyDescent="0.35">
      <c r="D46">
        <f t="shared" si="15"/>
        <v>0</v>
      </c>
    </row>
    <row r="47" spans="2:4" x14ac:dyDescent="0.35">
      <c r="D47">
        <f t="shared" si="15"/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6B535-E061-40D7-8E67-ABD3775B4D6A}">
  <dimension ref="A1:P43"/>
  <sheetViews>
    <sheetView workbookViewId="0">
      <selection activeCell="B5" sqref="B5"/>
    </sheetView>
  </sheetViews>
  <sheetFormatPr defaultRowHeight="14.5" x14ac:dyDescent="0.35"/>
  <cols>
    <col min="1" max="1" width="21.81640625" style="45" customWidth="1"/>
    <col min="2" max="2" width="28.7265625" customWidth="1"/>
    <col min="3" max="3" width="13.7265625" bestFit="1" customWidth="1"/>
    <col min="4" max="4" width="13.7265625" customWidth="1"/>
    <col min="5" max="5" width="15.6328125" bestFit="1" customWidth="1"/>
    <col min="6" max="6" width="13.453125" customWidth="1"/>
    <col min="7" max="8" width="18.54296875" bestFit="1" customWidth="1"/>
    <col min="11" max="11" width="23.453125" bestFit="1" customWidth="1"/>
    <col min="15" max="15" width="23.453125" bestFit="1" customWidth="1"/>
  </cols>
  <sheetData>
    <row r="1" spans="1:16" ht="16.5" x14ac:dyDescent="0.45">
      <c r="A1" s="45" t="s">
        <v>87</v>
      </c>
      <c r="D1">
        <v>0.1</v>
      </c>
      <c r="E1">
        <v>0.1</v>
      </c>
      <c r="F1">
        <v>0.1</v>
      </c>
      <c r="G1">
        <v>0.1</v>
      </c>
      <c r="O1" t="s">
        <v>123</v>
      </c>
      <c r="P1">
        <v>-0.47299999999999998</v>
      </c>
    </row>
    <row r="2" spans="1:16" ht="16.5" x14ac:dyDescent="0.45">
      <c r="A2" s="45" t="s">
        <v>1</v>
      </c>
      <c r="B2">
        <f t="shared" ref="B2:G2" si="0">1-B1</f>
        <v>1</v>
      </c>
      <c r="C2">
        <f t="shared" si="0"/>
        <v>1</v>
      </c>
      <c r="D2">
        <f t="shared" si="0"/>
        <v>0.9</v>
      </c>
      <c r="E2">
        <f t="shared" si="0"/>
        <v>0.9</v>
      </c>
      <c r="F2">
        <f t="shared" si="0"/>
        <v>0.9</v>
      </c>
      <c r="G2">
        <f t="shared" si="0"/>
        <v>0.9</v>
      </c>
      <c r="O2" s="2" t="s">
        <v>138</v>
      </c>
      <c r="P2" s="75">
        <v>-7.25</v>
      </c>
    </row>
    <row r="3" spans="1:16" x14ac:dyDescent="0.35">
      <c r="A3" s="45" t="s">
        <v>88</v>
      </c>
      <c r="B3" s="2">
        <f t="shared" ref="B3:G3" si="1">B8/B10</f>
        <v>0.34666666666666668</v>
      </c>
      <c r="C3" s="2">
        <f t="shared" si="1"/>
        <v>3.3766233766233766E-3</v>
      </c>
      <c r="D3" s="2">
        <f t="shared" si="1"/>
        <v>9.0277777777777776E-2</v>
      </c>
      <c r="E3" s="2">
        <f t="shared" si="1"/>
        <v>9.0277777777777776E-2</v>
      </c>
      <c r="F3" s="2">
        <f t="shared" si="1"/>
        <v>9.0277777777777776E-2</v>
      </c>
      <c r="G3" s="2">
        <f t="shared" si="1"/>
        <v>9.0277777777777776E-2</v>
      </c>
      <c r="I3" s="2"/>
      <c r="J3" s="2"/>
      <c r="O3" s="70" t="s">
        <v>134</v>
      </c>
      <c r="P3" s="70">
        <v>1.986</v>
      </c>
    </row>
    <row r="4" spans="1:16" x14ac:dyDescent="0.35">
      <c r="A4" s="45" t="s">
        <v>89</v>
      </c>
      <c r="B4" s="2">
        <f t="shared" ref="B4:G4" si="2">1-B3</f>
        <v>0.65333333333333332</v>
      </c>
      <c r="C4" s="2">
        <f t="shared" si="2"/>
        <v>0.99662337662337663</v>
      </c>
      <c r="D4" s="2">
        <f t="shared" si="2"/>
        <v>0.90972222222222221</v>
      </c>
      <c r="E4" s="2">
        <f t="shared" si="2"/>
        <v>0.90972222222222221</v>
      </c>
      <c r="F4" s="2">
        <f t="shared" si="2"/>
        <v>0.90972222222222221</v>
      </c>
      <c r="G4" s="2">
        <f t="shared" si="2"/>
        <v>0.90972222222222221</v>
      </c>
      <c r="H4" s="2"/>
      <c r="I4" s="70"/>
      <c r="J4" s="70"/>
      <c r="O4" s="71" t="s">
        <v>135</v>
      </c>
      <c r="P4" s="71">
        <v>93</v>
      </c>
    </row>
    <row r="5" spans="1:16" ht="16.5" x14ac:dyDescent="0.45">
      <c r="A5" s="46" t="s">
        <v>90</v>
      </c>
      <c r="B5" s="48">
        <v>0.05</v>
      </c>
      <c r="C5" s="48">
        <v>0.05</v>
      </c>
      <c r="D5" s="48">
        <v>0.05</v>
      </c>
      <c r="E5" s="48">
        <v>0.05</v>
      </c>
      <c r="F5" s="48">
        <v>0.05</v>
      </c>
      <c r="G5" s="48">
        <v>0.05</v>
      </c>
      <c r="H5" s="70"/>
      <c r="I5" s="71"/>
      <c r="J5" s="71"/>
      <c r="O5" s="71" t="s">
        <v>136</v>
      </c>
      <c r="P5" s="76">
        <v>1E-4</v>
      </c>
    </row>
    <row r="6" spans="1:16" ht="16.5" x14ac:dyDescent="0.45">
      <c r="A6" s="45" t="s">
        <v>96</v>
      </c>
      <c r="B6">
        <v>4.75</v>
      </c>
      <c r="C6" s="2">
        <v>4.75</v>
      </c>
      <c r="H6" s="71"/>
      <c r="I6" s="71"/>
      <c r="J6" s="71"/>
      <c r="O6" s="71" t="s">
        <v>137</v>
      </c>
      <c r="P6" s="71">
        <v>0.05</v>
      </c>
    </row>
    <row r="7" spans="1:16" ht="16.5" x14ac:dyDescent="0.45">
      <c r="A7" s="45" t="s">
        <v>97</v>
      </c>
      <c r="H7" s="71"/>
      <c r="I7" s="71"/>
      <c r="J7" s="71"/>
      <c r="K7" s="28"/>
      <c r="O7" s="71" t="str">
        <f>IF(P5&lt;P6,"P&lt;a,Null must go, sufficient","P&gt;a, fail to reject,not sufficient")</f>
        <v>P&lt;a,Null must go, sufficient</v>
      </c>
      <c r="P7" s="71"/>
    </row>
    <row r="8" spans="1:16" ht="16.5" x14ac:dyDescent="0.45">
      <c r="A8" s="46" t="s">
        <v>98</v>
      </c>
      <c r="B8" s="54">
        <v>5.2</v>
      </c>
      <c r="C8" s="77">
        <v>5.2</v>
      </c>
      <c r="D8" s="54">
        <v>26</v>
      </c>
      <c r="E8" s="54">
        <v>26</v>
      </c>
      <c r="F8" s="54">
        <v>26</v>
      </c>
      <c r="G8" s="54">
        <v>26</v>
      </c>
      <c r="H8" s="71"/>
      <c r="I8" s="71"/>
      <c r="J8" s="71"/>
      <c r="K8" s="28"/>
    </row>
    <row r="9" spans="1:16" ht="16.5" x14ac:dyDescent="0.45">
      <c r="A9" s="45" t="s">
        <v>99</v>
      </c>
      <c r="B9" s="54">
        <v>5</v>
      </c>
      <c r="C9" s="54">
        <v>5</v>
      </c>
      <c r="D9" s="54"/>
      <c r="E9" s="54"/>
      <c r="F9" s="54"/>
      <c r="G9" s="54"/>
      <c r="H9" s="71"/>
      <c r="I9" s="71"/>
      <c r="J9" s="71"/>
      <c r="K9" s="28"/>
    </row>
    <row r="10" spans="1:16" x14ac:dyDescent="0.35">
      <c r="A10" s="45" t="s">
        <v>91</v>
      </c>
      <c r="B10" s="51">
        <v>15</v>
      </c>
      <c r="C10" s="51">
        <v>1540</v>
      </c>
      <c r="D10" s="51">
        <v>288</v>
      </c>
      <c r="E10" s="51">
        <v>288</v>
      </c>
      <c r="F10" s="51">
        <v>288</v>
      </c>
      <c r="G10" s="51">
        <v>288</v>
      </c>
      <c r="H10" s="71"/>
      <c r="I10" s="71"/>
      <c r="J10" s="71"/>
      <c r="K10" s="57"/>
    </row>
    <row r="11" spans="1:16" ht="16.5" x14ac:dyDescent="0.45">
      <c r="A11" s="45" t="s">
        <v>102</v>
      </c>
      <c r="B11" s="55">
        <f>_xlfn.NORM.DIST(B8,0,1,TRUE)</f>
        <v>0.99999990035573683</v>
      </c>
      <c r="C11" s="55">
        <f t="shared" ref="C11" si="3">_xlfn.NORM.DIST(C8,0,1,TRUE)</f>
        <v>0.99999990035573683</v>
      </c>
      <c r="D11" s="55">
        <f>_xlfn.NORM.DIST(D8,0,1,TRUE)</f>
        <v>1</v>
      </c>
      <c r="E11" s="55">
        <f>_xlfn.NORM.DIST(E8,0,1,TRUE)</f>
        <v>1</v>
      </c>
      <c r="F11" s="55">
        <f>_xlfn.NORM.DIST(F8,0,1,TRUE)</f>
        <v>1</v>
      </c>
      <c r="G11" s="55">
        <f>_xlfn.NORM.DIST(G8,0,1,TRUE)</f>
        <v>1</v>
      </c>
      <c r="H11" s="71"/>
      <c r="I11" s="72"/>
      <c r="J11" s="72"/>
      <c r="K11" s="28"/>
    </row>
    <row r="12" spans="1:16" ht="16.5" x14ac:dyDescent="0.45">
      <c r="A12" s="45" t="s">
        <v>103</v>
      </c>
      <c r="B12" s="55">
        <f>1-_xlfn.NORM.DIST(B8,0,1,TRUE)</f>
        <v>9.9644263173992442E-8</v>
      </c>
      <c r="C12" s="55">
        <f t="shared" ref="C12" si="4">1-_xlfn.NORM.DIST(C8,0,1,TRUE)</f>
        <v>9.9644263173992442E-8</v>
      </c>
      <c r="D12" s="55">
        <f>1-_xlfn.NORM.DIST(D8,0,1,TRUE)</f>
        <v>0</v>
      </c>
      <c r="E12" s="55">
        <f>1-_xlfn.NORM.DIST(E8,0,1,TRUE)</f>
        <v>0</v>
      </c>
      <c r="F12" s="55">
        <f>1-_xlfn.NORM.DIST(F8,0,1,TRUE)</f>
        <v>0</v>
      </c>
      <c r="G12" s="55">
        <f>1-_xlfn.NORM.DIST(G8,0,1,TRUE)</f>
        <v>0</v>
      </c>
      <c r="H12" s="72"/>
      <c r="I12" s="72"/>
      <c r="J12" s="72"/>
      <c r="K12" s="31"/>
    </row>
    <row r="13" spans="1:16" ht="16.5" x14ac:dyDescent="0.45">
      <c r="A13" s="45" t="s">
        <v>104</v>
      </c>
      <c r="B13" s="3" t="e">
        <f>(B3-B1)/(SQRT((B1*B2)/B10))</f>
        <v>#DIV/0!</v>
      </c>
      <c r="C13" s="3" t="e">
        <f>(C3-C1)/SQRT((C1*C2)/C10)</f>
        <v>#DIV/0!</v>
      </c>
      <c r="D13" s="3">
        <f>(D3-D1)/(SQRT((D1*D2)/D10))</f>
        <v>-0.54997194092287061</v>
      </c>
      <c r="E13" s="3">
        <f>(E3-E1)/(SQRT((E1*E2)/E10))</f>
        <v>-0.54997194092287061</v>
      </c>
      <c r="F13" s="3">
        <f>(F3-F1)/(SQRT((F1*F2)/F10))</f>
        <v>-0.54997194092287061</v>
      </c>
      <c r="G13" s="3">
        <f>(G3-G1)/(SQRT((G1*G2)/G10))</f>
        <v>-0.54997194092287061</v>
      </c>
      <c r="H13" s="72"/>
      <c r="I13" s="73"/>
      <c r="J13" s="73"/>
    </row>
    <row r="14" spans="1:16" ht="16.5" x14ac:dyDescent="0.45">
      <c r="A14" s="45" t="s">
        <v>100</v>
      </c>
      <c r="B14" s="56">
        <f>((B8-B9)/(B6/SQRT(B10)))</f>
        <v>0.16307298299820719</v>
      </c>
      <c r="C14" s="95">
        <f t="shared" ref="C14" si="5">((C8-C9)/(C6/SQRT(C10)))</f>
        <v>1.6523298417135663</v>
      </c>
      <c r="D14" s="56" t="e">
        <f>((D8-D9)/(D6/SQRT(D10)))</f>
        <v>#DIV/0!</v>
      </c>
      <c r="E14" s="56" t="e">
        <f>((E8-E9)/(E6/SQRT(E10)))</f>
        <v>#DIV/0!</v>
      </c>
      <c r="F14" s="56" t="e">
        <f>((F8-F9)/(F6/SQRT(F10)))</f>
        <v>#DIV/0!</v>
      </c>
      <c r="G14" s="56" t="e">
        <f>((G8-G9)/(G6/SQRT(G10)))</f>
        <v>#DIV/0!</v>
      </c>
      <c r="H14" s="73"/>
      <c r="I14" s="74"/>
      <c r="J14" s="73"/>
    </row>
    <row r="15" spans="1:16" ht="16.5" x14ac:dyDescent="0.45">
      <c r="A15" s="45" t="s">
        <v>101</v>
      </c>
      <c r="B15" s="2" t="e">
        <f>(B8-B9)/(B7/SQRT(B10))</f>
        <v>#DIV/0!</v>
      </c>
      <c r="C15" s="2" t="e">
        <f t="shared" ref="C15" si="6">(C8-C9)/(C7/SQRT(C10))</f>
        <v>#DIV/0!</v>
      </c>
      <c r="D15" s="2" t="e">
        <f>(D8-D9)/(D7/SQRT(D10))</f>
        <v>#DIV/0!</v>
      </c>
      <c r="E15" s="2" t="e">
        <f>(E8-E9)/(E7/SQRT(E10))</f>
        <v>#DIV/0!</v>
      </c>
      <c r="F15" s="2" t="e">
        <f>(F8-F9)/(F7/SQRT(F10))</f>
        <v>#DIV/0!</v>
      </c>
      <c r="G15" s="2" t="e">
        <f>(G8-G9)/(G7/SQRT(G10))</f>
        <v>#DIV/0!</v>
      </c>
      <c r="H15" s="73"/>
      <c r="I15" s="70"/>
      <c r="J15" s="70"/>
    </row>
    <row r="16" spans="1:16" x14ac:dyDescent="0.35">
      <c r="A16" s="69" t="s">
        <v>92</v>
      </c>
      <c r="B16" s="68">
        <f t="shared" ref="B16:G16" si="7">IF(B1&gt;0,IF(B10&gt;0,IF(B13&gt;0,1-_xlfn.NORM.DIST(B13,0,1,1),_xlfn.NORM.DIST(B13,0,1,1)),IF(B8&gt;0,1-_xlfn.NORM.DIST(B8,0,1,1),_xlfn.NORM.DIST(B8,0,1,1))),IF(B14&gt;0,1-_xlfn.T.DIST(B14,B10-1,1),_xlfn.T.DIST(B14,B10-1,1)))</f>
        <v>0.43639575247661666</v>
      </c>
      <c r="C16" s="1">
        <f t="shared" si="7"/>
        <v>4.9335655328770822E-2</v>
      </c>
      <c r="D16" s="68">
        <f t="shared" si="7"/>
        <v>0.29116930955067555</v>
      </c>
      <c r="E16" s="68">
        <f t="shared" si="7"/>
        <v>0.29116930955067555</v>
      </c>
      <c r="F16" s="68">
        <f t="shared" si="7"/>
        <v>0.29116930955067555</v>
      </c>
      <c r="G16" s="68">
        <f t="shared" si="7"/>
        <v>0.29116930955067555</v>
      </c>
      <c r="H16" s="70"/>
      <c r="I16" s="72"/>
      <c r="J16" s="72"/>
    </row>
    <row r="17" spans="1:11" x14ac:dyDescent="0.35">
      <c r="A17" s="45" t="s">
        <v>93</v>
      </c>
      <c r="B17" s="47" t="str">
        <f t="shared" ref="B17:G17" si="8">IF(B16&gt;B5,"P&gt;a,Fail to reject H0, not sufficient","P&lt;a, null must go, sufficient")</f>
        <v>P&gt;a,Fail to reject H0, not sufficient</v>
      </c>
      <c r="C17" s="47" t="str">
        <f t="shared" si="8"/>
        <v>P&lt;a, null must go, sufficient</v>
      </c>
      <c r="D17" s="47" t="str">
        <f t="shared" si="8"/>
        <v>P&gt;a,Fail to reject H0, not sufficient</v>
      </c>
      <c r="E17" s="47" t="str">
        <f t="shared" si="8"/>
        <v>P&gt;a,Fail to reject H0, not sufficient</v>
      </c>
      <c r="F17" s="47" t="str">
        <f t="shared" si="8"/>
        <v>P&gt;a,Fail to reject H0, not sufficient</v>
      </c>
      <c r="G17" s="47" t="str">
        <f t="shared" si="8"/>
        <v>P&gt;a,Fail to reject H0, not sufficient</v>
      </c>
      <c r="H17" s="72"/>
      <c r="I17" s="71"/>
      <c r="J17" s="71"/>
    </row>
    <row r="18" spans="1:11" ht="16.5" x14ac:dyDescent="0.45">
      <c r="A18" s="66" t="s">
        <v>106</v>
      </c>
      <c r="B18" s="67">
        <f t="shared" ref="B18:G18" si="9">IF(B1&gt;0,IF(ISBLANK(B9),IF(ISBLANK(B10),IF(B$8&gt;0,(1-_xlfn.NORM.DIST(B$8,0,1,1))*2,(_xlfn.NORM.DIST(B$8,0,1,1))*2),IF(B13&gt;0,(1-_xlfn.NORM.DIST(B13,0,1,1))*2,(_xlfn.NORM.DIST(B13,0,1,1))*2)),IF(B8&gt;0,(1-_xlfn.NORM.DIST(B8,0,1,1))*2,(_xlfn.NORM.DIST(B8,0,1,1))*2)),IF(B14&gt;0,(1-_xlfn.T.DIST(B14,B10-1,1))*2,(_xlfn.T.DIST(B14,B10-1,1))*2))</f>
        <v>0.87279150495323332</v>
      </c>
      <c r="C18" s="67">
        <f t="shared" si="9"/>
        <v>9.8671310657541644E-2</v>
      </c>
      <c r="D18" s="67">
        <f t="shared" si="9"/>
        <v>0.5823386191013511</v>
      </c>
      <c r="E18" s="67">
        <f t="shared" si="9"/>
        <v>0.5823386191013511</v>
      </c>
      <c r="F18" s="67">
        <f t="shared" si="9"/>
        <v>0.5823386191013511</v>
      </c>
      <c r="G18" s="67">
        <f t="shared" si="9"/>
        <v>0.5823386191013511</v>
      </c>
      <c r="H18" s="71"/>
      <c r="I18" s="72"/>
      <c r="J18" s="72"/>
    </row>
    <row r="19" spans="1:11" x14ac:dyDescent="0.35">
      <c r="A19" s="45" t="s">
        <v>95</v>
      </c>
      <c r="B19" s="47" t="str" cm="1">
        <f t="array" ref="B19">IF(B18=0,IF(P&gt;a,"Fail to reject H0, not sufficient","B18&lt;B5,P&lt;a,Null must go, sufficient"),IF(B18&gt;B5,"P&gt;a,Fail to reject H0, sufficient","p&lt;a,null must go, sufficient"))</f>
        <v>P&gt;a,Fail to reject H0, sufficient</v>
      </c>
      <c r="C19" s="47" t="str">
        <f t="shared" ref="C19" si="10">IF(C18=0,IF(C18&gt;C5,"Fail to reject H0","reject H0"),IF(C18&gt;C5,"Fail to reject H0","reject H0"))</f>
        <v>Fail to reject H0</v>
      </c>
      <c r="D19" s="47" t="str" cm="1">
        <f t="array" ref="D19">IF(D18=0,IF(P&gt;a,"Fail to reject H0, not sufficient","B18&lt;B5,P&lt;a,Null must go, sufficient"),IF(D18&gt;D5,"P&gt;a,Fail to reject H0, sufficient","p&lt;a,null must go, sufficient"))</f>
        <v>P&gt;a,Fail to reject H0, sufficient</v>
      </c>
      <c r="E19" s="47" t="str" cm="1">
        <f t="array" ref="E19">IF(E18=0,IF(P&gt;a,"Fail to reject H0, not sufficient","B18&lt;B5,P&lt;a,Null must go, sufficient"),IF(E18&gt;E5,"P&gt;a,Fail to reject H0, sufficient","p&lt;a,null must go, sufficient"))</f>
        <v>P&gt;a,Fail to reject H0, sufficient</v>
      </c>
      <c r="F19" s="47" t="str" cm="1">
        <f t="array" ref="F19">IF(F18=0,IF(P&gt;a,"Fail to reject H0, not sufficient","B18&lt;B5,P&lt;a,Null must go, sufficient"),IF(F18&gt;F5,"P&gt;a,Fail to reject H0, sufficient","p&lt;a,null must go, sufficient"))</f>
        <v>P&gt;a,Fail to reject H0, sufficient</v>
      </c>
      <c r="G19" s="47" t="str" cm="1">
        <f t="array" ref="G19">IF(G18=0,IF(P&gt;a,"Fail to reject H0, not sufficient","B18&lt;B5,P&lt;a,Null must go, sufficient"),IF(G18&gt;G5,"P&gt;a,Fail to reject H0, sufficient","p&lt;a,null must go, sufficient"))</f>
        <v>P&gt;a,Fail to reject H0, sufficient</v>
      </c>
      <c r="H19" s="72"/>
      <c r="I19" s="71"/>
      <c r="J19" s="71"/>
      <c r="K19" s="57"/>
    </row>
    <row r="20" spans="1:11" x14ac:dyDescent="0.35">
      <c r="A20" s="45" t="s">
        <v>94</v>
      </c>
      <c r="B20" t="str">
        <f>IF(B16&gt;B5,"If P&gt;α, Fail to rejectH0, not sufficient evidence to support","if P&lt;=α, Reject H0,  There is sufficient evidence to suppot claim....")</f>
        <v>If P&gt;α, Fail to rejectH0, not sufficient evidence to support</v>
      </c>
      <c r="D20" t="str">
        <f>IF(D16&gt;D5,"If P&gt;α, Fail to rejectH0, not sufficient evidence to support","if P&lt;=α, Reject H0,  There is sufficient evidence to suppot claim....")</f>
        <v>If P&gt;α, Fail to rejectH0, not sufficient evidence to support</v>
      </c>
      <c r="E20" t="str">
        <f>IF(E16&gt;E5,"If P&gt;α, Fail to rejectH0, not sufficient evidence to support","if P&lt;=α, Reject H0,  There is sufficient evidence to suppot claim....")</f>
        <v>If P&gt;α, Fail to rejectH0, not sufficient evidence to support</v>
      </c>
      <c r="F20" t="str">
        <f>IF(F16&gt;F5,"If P&gt;α, Fail to rejectH0, not sufficient evidence to support","if P&lt;=α, Reject H0,  There is sufficient evidence to suppot claim....")</f>
        <v>If P&gt;α, Fail to rejectH0, not sufficient evidence to support</v>
      </c>
      <c r="G20" t="str">
        <f>IF(G16&gt;G5,"If P&gt;α, Fail to rejectH0, not sufficient evidence to support","if P&lt;=α, Reject H0,  There is sufficient evidence to suppot claim....")</f>
        <v>If P&gt;α, Fail to rejectH0, not sufficient evidence to support</v>
      </c>
      <c r="H20" s="71"/>
      <c r="I20" s="71"/>
      <c r="J20" s="71"/>
    </row>
    <row r="21" spans="1:11" x14ac:dyDescent="0.35">
      <c r="E21" s="71"/>
    </row>
    <row r="22" spans="1:11" x14ac:dyDescent="0.35">
      <c r="C22">
        <f>COUNT(B$26:B$197)</f>
        <v>18</v>
      </c>
      <c r="D22" t="s">
        <v>6</v>
      </c>
    </row>
    <row r="23" spans="1:11" x14ac:dyDescent="0.35">
      <c r="A23" s="45" t="s">
        <v>151</v>
      </c>
      <c r="B23">
        <f>_xlfn.NORM.INV(B5,0,1)</f>
        <v>-1.6448536269514726</v>
      </c>
      <c r="C23" s="2">
        <f>_xlfn.STDEV.S(B$26:B$198)</f>
        <v>0.12346006625017149</v>
      </c>
      <c r="D23" t="s">
        <v>105</v>
      </c>
    </row>
    <row r="24" spans="1:11" x14ac:dyDescent="0.35">
      <c r="A24" s="45" t="s">
        <v>149</v>
      </c>
      <c r="B24">
        <f>_xlfn.NORM.INV(A26,0,1)</f>
        <v>0.84162123357291474</v>
      </c>
      <c r="C24" s="2">
        <f>AVERAGE(B$26:B$198)</f>
        <v>1.5835994444444443</v>
      </c>
      <c r="D24" t="s">
        <v>44</v>
      </c>
    </row>
    <row r="25" spans="1:11" ht="16.5" x14ac:dyDescent="0.45">
      <c r="A25" s="46" t="s">
        <v>150</v>
      </c>
      <c r="C25" s="2"/>
      <c r="D25" s="2"/>
    </row>
    <row r="26" spans="1:11" x14ac:dyDescent="0.35">
      <c r="A26" s="45">
        <v>0.8</v>
      </c>
      <c r="B26">
        <v>1.4430000000000001</v>
      </c>
      <c r="C26" s="2"/>
      <c r="D26" s="2"/>
    </row>
    <row r="27" spans="1:11" x14ac:dyDescent="0.35">
      <c r="B27">
        <v>1.6638900000000001</v>
      </c>
      <c r="C27" s="2"/>
      <c r="D27" s="2"/>
    </row>
    <row r="28" spans="1:11" x14ac:dyDescent="0.35">
      <c r="B28">
        <v>1.51057</v>
      </c>
    </row>
    <row r="29" spans="1:11" x14ac:dyDescent="0.35">
      <c r="B29">
        <v>1.73611</v>
      </c>
    </row>
    <row r="30" spans="1:11" x14ac:dyDescent="0.35">
      <c r="B30">
        <v>1.4492799999999999</v>
      </c>
    </row>
    <row r="31" spans="1:11" x14ac:dyDescent="0.35">
      <c r="B31">
        <v>1.49254</v>
      </c>
    </row>
    <row r="32" spans="1:11" x14ac:dyDescent="0.35">
      <c r="B32">
        <v>1.6501699999999999</v>
      </c>
    </row>
    <row r="33" spans="2:2" x14ac:dyDescent="0.35">
      <c r="B33">
        <v>1.6501699999999999</v>
      </c>
    </row>
    <row r="34" spans="2:2" x14ac:dyDescent="0.35">
      <c r="B34">
        <v>1.7543899999999999</v>
      </c>
    </row>
    <row r="35" spans="2:2" x14ac:dyDescent="0.35">
      <c r="B35">
        <v>1.63666</v>
      </c>
    </row>
    <row r="36" spans="2:2" x14ac:dyDescent="0.35">
      <c r="B36">
        <v>1.33511</v>
      </c>
    </row>
    <row r="37" spans="2:2" x14ac:dyDescent="0.35">
      <c r="B37">
        <v>1.8083199999999999</v>
      </c>
    </row>
    <row r="38" spans="2:2" x14ac:dyDescent="0.35">
      <c r="B38">
        <v>1.59236</v>
      </c>
    </row>
    <row r="39" spans="2:2" x14ac:dyDescent="0.35">
      <c r="B39">
        <v>1.62602</v>
      </c>
    </row>
    <row r="40" spans="2:2" x14ac:dyDescent="0.35">
      <c r="B40">
        <v>1.6420399999999999</v>
      </c>
    </row>
    <row r="41" spans="2:2" x14ac:dyDescent="0.35">
      <c r="B41">
        <v>1.49701</v>
      </c>
    </row>
    <row r="42" spans="2:2" x14ac:dyDescent="0.35">
      <c r="B42">
        <v>1.52905</v>
      </c>
    </row>
    <row r="43" spans="2:2" x14ac:dyDescent="0.35">
      <c r="B43">
        <v>1.4881</v>
      </c>
    </row>
  </sheetData>
  <pageMargins left="0.7" right="0.7" top="0.75" bottom="0.75" header="0.3" footer="0.3"/>
  <pageSetup orientation="portrait" verticalDpi="30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99A1B-A4E8-4857-97CC-B61ADDF6262B}">
  <dimension ref="A1:U75"/>
  <sheetViews>
    <sheetView topLeftCell="H1" workbookViewId="0">
      <selection activeCell="J5" sqref="J5"/>
    </sheetView>
  </sheetViews>
  <sheetFormatPr defaultRowHeight="14.5" x14ac:dyDescent="0.35"/>
  <cols>
    <col min="1" max="1" width="21.81640625" style="45" customWidth="1"/>
    <col min="2" max="2" width="28.7265625" customWidth="1"/>
    <col min="3" max="3" width="13.7265625" bestFit="1" customWidth="1"/>
    <col min="4" max="4" width="13.7265625" customWidth="1"/>
    <col min="5" max="5" width="15.6328125" bestFit="1" customWidth="1"/>
    <col min="6" max="6" width="13.453125" customWidth="1"/>
    <col min="7" max="7" width="18.54296875" bestFit="1" customWidth="1"/>
    <col min="8" max="8" width="18.54296875" style="28" customWidth="1"/>
    <col min="9" max="9" width="18.54296875" bestFit="1" customWidth="1"/>
    <col min="10" max="10" width="20.90625" customWidth="1"/>
    <col min="11" max="11" width="11.453125" customWidth="1"/>
    <col min="13" max="13" width="23.453125" bestFit="1" customWidth="1"/>
    <col min="17" max="17" width="23.453125" bestFit="1" customWidth="1"/>
    <col min="20" max="20" width="25.26953125" bestFit="1" customWidth="1"/>
  </cols>
  <sheetData>
    <row r="1" spans="1:21" ht="16.5" x14ac:dyDescent="0.45">
      <c r="A1" s="45" t="s">
        <v>87</v>
      </c>
      <c r="B1">
        <v>0.88</v>
      </c>
      <c r="C1">
        <v>0.2</v>
      </c>
      <c r="D1">
        <v>0.2</v>
      </c>
      <c r="I1" t="s">
        <v>107</v>
      </c>
      <c r="J1" s="45" t="s">
        <v>108</v>
      </c>
      <c r="K1" t="s">
        <v>108</v>
      </c>
      <c r="L1">
        <v>0</v>
      </c>
      <c r="R1" t="s">
        <v>123</v>
      </c>
      <c r="S1">
        <v>-0.47299999999999998</v>
      </c>
      <c r="U1" t="s">
        <v>141</v>
      </c>
    </row>
    <row r="2" spans="1:21" ht="16.5" x14ac:dyDescent="0.45">
      <c r="A2" s="45" t="s">
        <v>1</v>
      </c>
      <c r="B2">
        <f t="shared" ref="B2:G2" si="0">1-B1</f>
        <v>0.12</v>
      </c>
      <c r="C2">
        <f t="shared" si="0"/>
        <v>0.8</v>
      </c>
      <c r="D2">
        <f t="shared" si="0"/>
        <v>0.8</v>
      </c>
      <c r="E2">
        <f t="shared" si="0"/>
        <v>1</v>
      </c>
      <c r="F2">
        <f t="shared" si="0"/>
        <v>1</v>
      </c>
      <c r="G2">
        <f t="shared" si="0"/>
        <v>1</v>
      </c>
      <c r="I2" t="s">
        <v>109</v>
      </c>
      <c r="J2" s="90" t="s">
        <v>131</v>
      </c>
      <c r="K2" s="54" t="s">
        <v>131</v>
      </c>
      <c r="L2">
        <v>0</v>
      </c>
      <c r="M2" s="54"/>
      <c r="R2" s="2" t="s">
        <v>138</v>
      </c>
      <c r="S2" s="75">
        <v>-7.25</v>
      </c>
      <c r="U2" t="s">
        <v>142</v>
      </c>
    </row>
    <row r="3" spans="1:21" x14ac:dyDescent="0.35">
      <c r="A3" s="45" t="s">
        <v>88</v>
      </c>
      <c r="B3" s="2">
        <f t="shared" ref="B3:G3" si="1">B8/B10</f>
        <v>0</v>
      </c>
      <c r="C3" s="2">
        <f t="shared" si="1"/>
        <v>0.25961538461538464</v>
      </c>
      <c r="D3" s="2">
        <f t="shared" si="1"/>
        <v>0.18585337915234823</v>
      </c>
      <c r="E3" s="2">
        <f t="shared" si="1"/>
        <v>3.977777777777778E-2</v>
      </c>
      <c r="F3" s="2">
        <f t="shared" si="1"/>
        <v>1.4124000000000001</v>
      </c>
      <c r="G3" s="2">
        <f t="shared" si="1"/>
        <v>127.5</v>
      </c>
      <c r="H3" s="29"/>
      <c r="I3" s="45" t="s">
        <v>6</v>
      </c>
      <c r="J3" s="45">
        <f>COUNT(L23:L221)</f>
        <v>10</v>
      </c>
      <c r="K3">
        <f>COUNT(M23:M221)</f>
        <v>0</v>
      </c>
      <c r="R3" s="70" t="s">
        <v>134</v>
      </c>
      <c r="S3" s="70">
        <v>1.986</v>
      </c>
      <c r="U3" t="s">
        <v>143</v>
      </c>
    </row>
    <row r="4" spans="1:21" x14ac:dyDescent="0.35">
      <c r="A4" s="45" t="s">
        <v>89</v>
      </c>
      <c r="B4" s="2">
        <f t="shared" ref="B4:G4" si="2">1-B3</f>
        <v>1</v>
      </c>
      <c r="C4" s="2">
        <f t="shared" si="2"/>
        <v>0.74038461538461542</v>
      </c>
      <c r="D4" s="2">
        <f t="shared" si="2"/>
        <v>0.81414662084765177</v>
      </c>
      <c r="E4" s="2">
        <f t="shared" si="2"/>
        <v>0.9602222222222222</v>
      </c>
      <c r="F4" s="2">
        <f t="shared" si="2"/>
        <v>-0.4124000000000001</v>
      </c>
      <c r="G4" s="2">
        <f t="shared" si="2"/>
        <v>-126.5</v>
      </c>
      <c r="H4" s="29"/>
      <c r="I4" s="46" t="s">
        <v>110</v>
      </c>
      <c r="J4" s="45">
        <v>0.05</v>
      </c>
      <c r="K4">
        <v>0.1</v>
      </c>
      <c r="L4">
        <v>0.8</v>
      </c>
      <c r="R4" s="71" t="s">
        <v>135</v>
      </c>
      <c r="S4" s="71">
        <v>93</v>
      </c>
      <c r="U4" t="s">
        <v>144</v>
      </c>
    </row>
    <row r="5" spans="1:21" ht="16.5" x14ac:dyDescent="0.45">
      <c r="A5" s="46" t="s">
        <v>90</v>
      </c>
      <c r="B5" s="48">
        <v>0.05</v>
      </c>
      <c r="C5" s="48">
        <v>0.01</v>
      </c>
      <c r="D5" s="48">
        <v>0.01</v>
      </c>
      <c r="E5" s="48">
        <v>0.05</v>
      </c>
      <c r="F5" s="48">
        <v>0.01</v>
      </c>
      <c r="G5" s="48">
        <v>0.05</v>
      </c>
      <c r="I5" s="46" t="s">
        <v>111</v>
      </c>
      <c r="J5" s="91">
        <f>IF(J4&lt;0.5,-_xlfn.T.INV((J4),J3-1),-_xlfn.T.INV((1-J4)/2,J3-1))</f>
        <v>1.8331129326562374</v>
      </c>
      <c r="K5" s="1" t="e">
        <f>IF(K4&lt;0.5,-_xlfn.T.INV((K4),K3-1),-_xlfn.T.INV((1-K4)/2,K3-1))</f>
        <v>#NUM!</v>
      </c>
      <c r="L5">
        <f>-_xlfn.T.INV(J4,J3-1)</f>
        <v>1.8331129326562374</v>
      </c>
      <c r="M5" s="1"/>
      <c r="R5" s="71" t="s">
        <v>136</v>
      </c>
      <c r="S5" s="76">
        <v>1E-4</v>
      </c>
      <c r="U5" t="s">
        <v>146</v>
      </c>
    </row>
    <row r="6" spans="1:21" ht="16.5" x14ac:dyDescent="0.45">
      <c r="A6" s="45" t="s">
        <v>96</v>
      </c>
      <c r="E6">
        <v>0.56000000000000005</v>
      </c>
      <c r="F6" s="2">
        <f>C23</f>
        <v>21.446554359093469</v>
      </c>
      <c r="G6">
        <f>G22</f>
        <v>191.58722991542695</v>
      </c>
      <c r="I6" s="45" t="s">
        <v>112</v>
      </c>
      <c r="J6" s="45">
        <f>J3-1</f>
        <v>9</v>
      </c>
      <c r="K6">
        <f>K3-1</f>
        <v>-1</v>
      </c>
      <c r="L6" s="58"/>
      <c r="R6" s="71" t="s">
        <v>137</v>
      </c>
      <c r="S6" s="71">
        <v>0.05</v>
      </c>
      <c r="U6" t="s">
        <v>145</v>
      </c>
    </row>
    <row r="7" spans="1:21" ht="16.5" x14ac:dyDescent="0.45">
      <c r="A7" s="45" t="s">
        <v>97</v>
      </c>
      <c r="I7" s="45" t="s">
        <v>113</v>
      </c>
      <c r="J7" s="45">
        <f>AVERAGE(L23:L100)</f>
        <v>2.66</v>
      </c>
      <c r="K7" t="e">
        <f>AVERAGE(M23:M100)</f>
        <v>#DIV/0!</v>
      </c>
      <c r="L7" s="1"/>
      <c r="N7" s="28"/>
      <c r="R7" s="71" t="str">
        <f>IF(S5&lt;S6,"P&lt;a,Null must go, sufficient","P&gt;a, fail to reject,not sufficient")</f>
        <v>P&lt;a,Null must go, sufficient</v>
      </c>
      <c r="S7" s="71"/>
    </row>
    <row r="8" spans="1:21" ht="16.5" x14ac:dyDescent="0.45">
      <c r="A8" s="46" t="s">
        <v>98</v>
      </c>
      <c r="B8" s="54"/>
      <c r="C8" s="54">
        <v>54</v>
      </c>
      <c r="D8" s="54">
        <v>1298</v>
      </c>
      <c r="E8" s="54">
        <v>3.58</v>
      </c>
      <c r="F8" s="77">
        <f>C24</f>
        <v>70.62</v>
      </c>
      <c r="G8" s="54">
        <f>G23</f>
        <v>765</v>
      </c>
      <c r="I8" s="45" t="s">
        <v>114</v>
      </c>
      <c r="J8" s="91">
        <f>_xlfn.STDEV.S(L23:L221)</f>
        <v>2.9571758298905539</v>
      </c>
      <c r="K8" s="1" t="e">
        <f>_xlfn.STDEV.S(M23:M221)</f>
        <v>#DIV/0!</v>
      </c>
      <c r="M8" s="1"/>
      <c r="N8" s="28"/>
    </row>
    <row r="9" spans="1:21" ht="16.5" x14ac:dyDescent="0.45">
      <c r="A9" s="45" t="s">
        <v>99</v>
      </c>
      <c r="B9" s="54"/>
      <c r="C9" s="54"/>
      <c r="D9" s="54"/>
      <c r="E9" s="54">
        <v>3.75</v>
      </c>
      <c r="F9" s="54">
        <v>74</v>
      </c>
      <c r="G9" s="54">
        <v>1000</v>
      </c>
      <c r="I9" s="59" t="s">
        <v>115</v>
      </c>
      <c r="J9" s="92">
        <f>(J7-L1)/(J8/SQRT(J3))</f>
        <v>2.8444905071333579</v>
      </c>
      <c r="K9" s="37" t="e">
        <f>(K7-M1)/(K8/SQRT(K3))</f>
        <v>#DIV/0!</v>
      </c>
      <c r="M9" s="37"/>
      <c r="N9" s="28"/>
    </row>
    <row r="10" spans="1:21" x14ac:dyDescent="0.35">
      <c r="A10" s="45" t="s">
        <v>91</v>
      </c>
      <c r="B10" s="51">
        <v>10</v>
      </c>
      <c r="C10" s="51">
        <v>208</v>
      </c>
      <c r="D10" s="51">
        <v>6984</v>
      </c>
      <c r="E10" s="51">
        <v>90</v>
      </c>
      <c r="F10" s="51">
        <f>C22</f>
        <v>50</v>
      </c>
      <c r="G10" s="51">
        <f>G24</f>
        <v>6</v>
      </c>
      <c r="I10" s="45" t="s">
        <v>116</v>
      </c>
      <c r="J10" s="45" t="str">
        <f>IF(J11&lt;J9,"sts&lt;t: reject the null", "sts&gt;t: do not reject the null")</f>
        <v>sts&lt;t: reject the null</v>
      </c>
      <c r="K10" t="e">
        <f>IF(K11&lt;K9,"sts&lt;t: reject the null", "sts&gt;t: do not reject the null")</f>
        <v>#NUM!</v>
      </c>
      <c r="N10" s="57"/>
    </row>
    <row r="11" spans="1:21" ht="16.5" x14ac:dyDescent="0.45">
      <c r="A11" s="45" t="s">
        <v>102</v>
      </c>
      <c r="B11" s="55">
        <f>_xlfn.NORM.DIST(B8,0,1,TRUE)</f>
        <v>0.5</v>
      </c>
      <c r="C11" s="55">
        <f t="shared" ref="C11" si="3">_xlfn.NORM.DIST(C8,0,1,TRUE)</f>
        <v>1</v>
      </c>
      <c r="D11" s="55">
        <f>_xlfn.NORM.DIST(D8,0,1,TRUE)</f>
        <v>1</v>
      </c>
      <c r="E11" s="55">
        <f>_xlfn.NORM.DIST(E8,0,1,TRUE)</f>
        <v>0.99982820289625407</v>
      </c>
      <c r="F11" s="55">
        <f>_xlfn.NORM.DIST(F8,0,1,TRUE)</f>
        <v>1</v>
      </c>
      <c r="G11" s="55">
        <f>_xlfn.NORM.DIST(G8,0,1,TRUE)</f>
        <v>1</v>
      </c>
      <c r="H11" s="31"/>
      <c r="I11" s="45" t="s">
        <v>117</v>
      </c>
      <c r="J11" s="93">
        <f>IF(J4&lt;0.5,_xlfn.T.INV.2T(J4,J3-1),_xlfn.T.INV.2T((1-J4)/2,J3-1))</f>
        <v>2.2621571627982053</v>
      </c>
      <c r="K11" s="60" t="e">
        <f>IF(K4&lt;0.5,_xlfn.T.INV.2T(K4,K3-1),_xlfn.T.INV.2T((1-K4)/2,K3-1))</f>
        <v>#NUM!</v>
      </c>
      <c r="L11" s="2">
        <f>IF(L4&lt;0.5,_xlfn.T.INV.2T(L4,J3-1),_xlfn.T.INV.2T((1-L4)/2,J3-1))</f>
        <v>1.8331129326562374</v>
      </c>
      <c r="M11" s="60"/>
      <c r="N11" s="28"/>
    </row>
    <row r="12" spans="1:21" ht="16.5" x14ac:dyDescent="0.45">
      <c r="A12" s="45" t="s">
        <v>103</v>
      </c>
      <c r="B12" s="55">
        <f>1-_xlfn.NORM.DIST(B8,0,1,TRUE)</f>
        <v>0.5</v>
      </c>
      <c r="C12" s="55">
        <f t="shared" ref="C12" si="4">1-_xlfn.NORM.DIST(C8,0,1,TRUE)</f>
        <v>0</v>
      </c>
      <c r="D12" s="55">
        <f>1-_xlfn.NORM.DIST(D8,0,1,TRUE)</f>
        <v>0</v>
      </c>
      <c r="E12" s="55">
        <f>1-_xlfn.NORM.DIST(E8,0,1,TRUE)</f>
        <v>1.7179710374592982E-4</v>
      </c>
      <c r="F12" s="55">
        <f>1-_xlfn.NORM.DIST(F8,0,1,TRUE)</f>
        <v>0</v>
      </c>
      <c r="G12" s="55">
        <f>1-_xlfn.NORM.DIST(G8,0,1,TRUE)</f>
        <v>0</v>
      </c>
      <c r="H12" s="31"/>
      <c r="I12" s="45" t="s">
        <v>118</v>
      </c>
      <c r="J12" s="7">
        <f>IF(J9&gt;0,1-_xlfn.T.DIST(J9,J3-1,1),_xlfn.T.DIST(J9,J3-1,1))</f>
        <v>9.6307622515390268E-3</v>
      </c>
      <c r="K12" s="61" t="e">
        <f>IF(K9&gt;0,1-_xlfn.T.DIST(K9,K3-1,1),_xlfn.T.DIST(K9,K3-1,1))</f>
        <v>#DIV/0!</v>
      </c>
      <c r="L12" s="2">
        <f>IF(J9&gt;0,1-_xlfn.T.DIST(J9,J3-1,1),_xlfn.T.DIST(J9,J3-1,1))</f>
        <v>9.6307622515390268E-3</v>
      </c>
      <c r="M12" s="61"/>
      <c r="N12" s="31"/>
    </row>
    <row r="13" spans="1:21" ht="16.5" x14ac:dyDescent="0.45">
      <c r="A13" s="45" t="s">
        <v>104</v>
      </c>
      <c r="B13" s="1">
        <f>(B3-B1)/(SQRT((B1*B2)/B10))</f>
        <v>-8.5634883857767523</v>
      </c>
      <c r="C13" s="3">
        <f>(C3-C1)/SQRT((C1*C2)/C10)</f>
        <v>2.1494632603727628</v>
      </c>
      <c r="D13" s="3">
        <f>(D3-D1)/(SQRT((D1*D2)/D10))</f>
        <v>-2.9555944196430226</v>
      </c>
      <c r="E13" s="3" t="e">
        <f>(E3-E1)/(SQRT((E1*E2)/E10))</f>
        <v>#DIV/0!</v>
      </c>
      <c r="F13" s="3" t="e">
        <f>(F3-F1)/(SQRT((F1*F2)/F10))</f>
        <v>#DIV/0!</v>
      </c>
      <c r="G13" s="3" t="e">
        <f>(G3-G1)/(SQRT((G1*G2)/G10))</f>
        <v>#DIV/0!</v>
      </c>
      <c r="H13" s="78"/>
      <c r="I13" s="45" t="s">
        <v>106</v>
      </c>
      <c r="J13" s="91">
        <f>IF(J9&gt;0,(1-_xlfn.T.DIST(J9,J3-1,1))*2,(_xlfn.T.DIST(J9,J3-1,1))*2)</f>
        <v>1.9261524503078054E-2</v>
      </c>
      <c r="K13" s="1" t="e">
        <f>IF(K9&gt;0,(1-_xlfn.T.DIST(K9,K3-1,1))*2,(_xlfn.T.DIST(K9,K3-1,1))*2)</f>
        <v>#DIV/0!</v>
      </c>
      <c r="L13" s="34">
        <f>IF(J9&gt;0,1-_xlfn.T.DIST(J9,J3-1,1)*2,_xlfn.T.DIST(J9,J3-1,1)*2)</f>
        <v>-0.98073847549692195</v>
      </c>
      <c r="M13" s="1"/>
    </row>
    <row r="14" spans="1:21" ht="16.5" x14ac:dyDescent="0.45">
      <c r="A14" s="45" t="s">
        <v>100</v>
      </c>
      <c r="B14" s="56" t="e">
        <f>((B8-B9)/(B6/SQRT(B10)))</f>
        <v>#DIV/0!</v>
      </c>
      <c r="C14" s="3" t="e">
        <f t="shared" ref="C14" si="5">((C8-C9)/(C6/SQRT(C10)))</f>
        <v>#DIV/0!</v>
      </c>
      <c r="D14" s="56" t="e">
        <f>((D8-D9)/(D6/SQRT(D10)))</f>
        <v>#DIV/0!</v>
      </c>
      <c r="E14" s="56">
        <f>((E8-E9)/(E6/SQRT(E10)))</f>
        <v>-2.8799314405104868</v>
      </c>
      <c r="F14" s="56">
        <f>((F8-F9)/(F6/SQRT(F10)))</f>
        <v>-1.1144078812814724</v>
      </c>
      <c r="G14" s="56">
        <f>((G8-G9)/(G6/SQRT(G10)))</f>
        <v>-3.0045326601786</v>
      </c>
      <c r="H14" s="79"/>
      <c r="I14" s="45" t="s">
        <v>93</v>
      </c>
      <c r="J14" s="59" t="str">
        <f>IF(J12&gt;J4,"P&gt;a,Fail to reject H0,not sufficient","P&lt;a, reject H0, is sufficient")</f>
        <v>P&lt;a, reject H0, is sufficient</v>
      </c>
      <c r="K14" s="47" t="e">
        <f>IF(K12&gt;K4,"P&gt;a,Fail to reject H0,not sufficient","P&lt;a, reject H0, is sufficient")</f>
        <v>#DIV/0!</v>
      </c>
      <c r="L14" s="45"/>
      <c r="M14" s="47"/>
    </row>
    <row r="15" spans="1:21" ht="16.5" x14ac:dyDescent="0.45">
      <c r="A15" s="45" t="s">
        <v>101</v>
      </c>
      <c r="B15" s="2" t="e">
        <f>(B8-B9)/(B7/SQRT(B10))</f>
        <v>#DIV/0!</v>
      </c>
      <c r="C15" s="2" t="e">
        <f t="shared" ref="C15" si="6">(C8-C9)/(C7/SQRT(C10))</f>
        <v>#DIV/0!</v>
      </c>
      <c r="D15" s="2" t="e">
        <f>(D8-D9)/(D7/SQRT(D10))</f>
        <v>#DIV/0!</v>
      </c>
      <c r="E15" s="2" t="e">
        <f>(E8-E9)/(E7/SQRT(E10))</f>
        <v>#DIV/0!</v>
      </c>
      <c r="F15" s="2" t="e">
        <f>(F8-F9)/(F7/SQRT(F10))</f>
        <v>#DIV/0!</v>
      </c>
      <c r="G15" s="2" t="e">
        <f>(G8-G9)/(G7/SQRT(G10))</f>
        <v>#DIV/0!</v>
      </c>
      <c r="H15" s="29"/>
      <c r="I15" s="45" t="s">
        <v>95</v>
      </c>
      <c r="J15" s="45" t="str">
        <f>IF(J13=0,IF(J13&gt;J4,"p&gt;a,Fail to reject H0,not sufficient","P&lt;a,reject H0,Sufficient"),IF(J13&gt;J4,"p&gt;a,Fail to reject H0,not sufficient","P&lt;a,reject H0,Sufficient"))</f>
        <v>P&lt;a,reject H0,Sufficient</v>
      </c>
      <c r="K15" t="e">
        <f>IF(K13=0,IF(K13&gt;K4,"p&gt;a,Fail to reject H0,not sufficient","P&lt;a,reject H0,Sufficient"),IF(K13&gt;K4,"p&gt;a,Fail to reject H0,not sufficient","P&lt;a,reject H0,Sufficient"))</f>
        <v>#DIV/0!</v>
      </c>
      <c r="L15" s="45"/>
    </row>
    <row r="16" spans="1:21" x14ac:dyDescent="0.35">
      <c r="A16" s="69" t="s">
        <v>92</v>
      </c>
      <c r="B16" s="68">
        <f t="shared" ref="B16:G16" si="7">IF(B1&gt;0,IF(B10&gt;0,IF(B13&gt;0,1-_xlfn.NORM.DIST(B13,0,1,1),_xlfn.NORM.DIST(B13,0,1,1)),IF(B8&gt;0,1-_xlfn.NORM.DIST(B8,0,1,1),_xlfn.NORM.DIST(B8,0,1,1))),IF(B14&gt;0,1-_xlfn.T.DIST(B14,B10-1,1),_xlfn.T.DIST(B14,B10-1,1)))</f>
        <v>5.4751452278529536E-18</v>
      </c>
      <c r="C16" s="1">
        <f t="shared" si="7"/>
        <v>1.5798847717858111E-2</v>
      </c>
      <c r="D16" s="68">
        <f t="shared" si="7"/>
        <v>1.5603358077094771E-3</v>
      </c>
      <c r="E16" s="68">
        <f t="shared" si="7"/>
        <v>2.4910901345317764E-3</v>
      </c>
      <c r="F16" s="68">
        <f t="shared" si="7"/>
        <v>0.13527030626662198</v>
      </c>
      <c r="G16" s="68">
        <f t="shared" si="7"/>
        <v>1.4971470481479055E-2</v>
      </c>
      <c r="H16" s="80"/>
      <c r="I16" s="45" t="s">
        <v>94</v>
      </c>
      <c r="J16" s="45" t="str">
        <f>IF(J9&gt;J4,"If P&gt;α, Fail to rejectH0, not sufficient evidence to support","if P&lt;=α, Reject H0,  There is sufficient evidence to suppot claim....")</f>
        <v>If P&gt;α, Fail to rejectH0, not sufficient evidence to support</v>
      </c>
      <c r="K16" t="e">
        <f>IF(K9&gt;K4,"If P&gt;α, Fail to rejectH0, not sufficient evidence to support","if P&lt;=α, Reject H0,  There is sufficient evidence to suppot claim....")</f>
        <v>#DIV/0!</v>
      </c>
      <c r="L16" s="45" t="str">
        <f>IF(AND(J18&lt;J9,J9&lt;J19),"in mean is enough evid., reject","not in mean,enough evid, fail to reject H0")</f>
        <v>in mean is enough evid., reject</v>
      </c>
    </row>
    <row r="17" spans="1:14" x14ac:dyDescent="0.35">
      <c r="A17" s="45" t="s">
        <v>93</v>
      </c>
      <c r="B17" s="47" t="str">
        <f t="shared" ref="B17:G17" si="8">IF(B16&gt;B5,"P&gt;a,Fail to reject H0, not sufficient","P&lt;a, null must go, sufficient")</f>
        <v>P&lt;a, null must go, sufficient</v>
      </c>
      <c r="C17" s="47" t="str">
        <f t="shared" si="8"/>
        <v>P&gt;a,Fail to reject H0, not sufficient</v>
      </c>
      <c r="D17" s="47" t="str">
        <f t="shared" si="8"/>
        <v>P&lt;a, null must go, sufficient</v>
      </c>
      <c r="E17" s="47" t="str">
        <f t="shared" si="8"/>
        <v>P&lt;a, null must go, sufficient</v>
      </c>
      <c r="F17" s="47" t="str">
        <f t="shared" si="8"/>
        <v>P&gt;a,Fail to reject H0, not sufficient</v>
      </c>
      <c r="G17" s="47" t="str">
        <f t="shared" si="8"/>
        <v>P&lt;a, null must go, sufficient</v>
      </c>
      <c r="I17" s="45" t="s">
        <v>119</v>
      </c>
      <c r="J17" s="45">
        <f>J5*(J8/SQRT(J3))</f>
        <v>1.7142192560099787</v>
      </c>
      <c r="K17" t="e">
        <f>K5*(K8/SQRT(K3))</f>
        <v>#NUM!</v>
      </c>
    </row>
    <row r="18" spans="1:14" ht="16.5" x14ac:dyDescent="0.45">
      <c r="A18" s="66" t="s">
        <v>106</v>
      </c>
      <c r="B18" s="67">
        <f>IF(B1&gt;0,IF(ISBLANK(B9),IF(ISBLANK(B10),IF(B$8&gt;0,(1-_xlfn.NORM.DIST(B$8,0,1,1))*2,(_xlfn.NORM.DIST(B$8,0,1,1))*2),IF(B13&gt;0,(1-_xlfn.NORM.DIST(B13,0,1,1))*2,(_xlfn.NORM.DIST(B13,0,1,1))*2)),IF(B8&gt;0,(1-_xlfn.NORM.DIST(B8,0,1,1))*2,(_xlfn.NORM.DIST(B8,0,1,1))*2)),IF(B14&gt;0,(1-_xlfn.T.DIST(B14,B10-1,1))*2,(_xlfn.T.DIST(B14,B10-1,1))*2))</f>
        <v>1.0950290455705907E-17</v>
      </c>
      <c r="C18" s="1">
        <f>IF(B1&gt;0,IF(ISBLANK(B9),IF(ISBLANK(B10),IF(B$8&gt;0,(1-_xlfn.NORM.DIST(B$8,0,1,1))*2,(_xlfn.NORM.DIST(B$8,0,1,1))*2),IF(B13&gt;0,(1-_xlfn.NORM.DIST(B13,0,1,1))*2,(_xlfn.NORM.DIST(B13,0,1,1))*2)),IF(B8&gt;0,(1-_xlfn.NORM.DIST(B8,0,1,1))*2,(_xlfn.NORM.DIST(B8,0,1,1))*2)),IF(B14&gt;0,(1-_xlfn.T.DIST(B14,B10-1,1))*2,(_xlfn.T.DIST(B14,B10-1,1))*2))</f>
        <v>1.0950290455705907E-17</v>
      </c>
      <c r="D18" s="67">
        <f>IF(D1&gt;0,IF(ISBLANK(D9),IF(ISBLANK(D10),IF(D$8&gt;0,(1-_xlfn.NORM.DIST(D$8,0,1,1))*2,(_xlfn.NORM.DIST(D$8,0,1,1))*2),IF(D13&gt;0,(1-_xlfn.NORM.DIST(D13,0,1,1))*2,(_xlfn.NORM.DIST(D13,0,1,1))*2)),IF(D8&gt;0,(1-_xlfn.NORM.DIST(D8,0,1,1))*2,(_xlfn.NORM.DIST(D8,0,1,1))*2)),IF(D14&gt;0,(1-_xlfn.T.DIST(D14,D10-1,1))*2,(_xlfn.T.DIST(D14,D10-1,1))*2))</f>
        <v>3.1206716154189543E-3</v>
      </c>
      <c r="E18" s="67">
        <f>IF(E1&gt;0,IF(ISBLANK(E9),IF(ISBLANK(E10),IF(E$8&gt;0,(1-_xlfn.NORM.DIST(E$8,0,1,1))*2,(_xlfn.NORM.DIST(E$8,0,1,1))*2),IF(E13&gt;0,(1-_xlfn.NORM.DIST(E13,0,1,1))*2,(_xlfn.NORM.DIST(E13,0,1,1))*2)),IF(E8&gt;0,(1-_xlfn.NORM.DIST(E8,0,1,1))*2,(_xlfn.NORM.DIST(E8,0,1,1))*2)),IF(E14&gt;0,(1-_xlfn.T.DIST(E14,E10-1,1))*2,(_xlfn.T.DIST(E14,E10-1,1))*2))</f>
        <v>4.9821802690635528E-3</v>
      </c>
      <c r="F18" s="67">
        <f>IF(F1&gt;0,IF(ISBLANK(F9),IF(ISBLANK(F10),IF(F$8&gt;0,(1-_xlfn.NORM.DIST(F$8,0,1,1))*2,(_xlfn.NORM.DIST(F$8,0,1,1))*2),IF(F13&gt;0,(1-_xlfn.NORM.DIST(F13,0,1,1))*2,(_xlfn.NORM.DIST(F13,0,1,1))*2)),IF(F8&gt;0,(1-_xlfn.NORM.DIST(F8,0,1,1))*2,(_xlfn.NORM.DIST(F8,0,1,1))*2)),IF(F14&gt;0,(1-_xlfn.T.DIST(F14,F10-1,1))*2,(_xlfn.T.DIST(F14,F10-1,1))*2))</f>
        <v>0.27054061253324396</v>
      </c>
      <c r="G18" s="67">
        <f>IF(G1&gt;0,IF(ISBLANK(G9),IF(ISBLANK(G10),IF(G$8&gt;0,(1-_xlfn.NORM.DIST(G$8,0,1,1))*2,(_xlfn.NORM.DIST(G$8,0,1,1))*2),IF(G13&gt;0,(1-_xlfn.NORM.DIST(G13,0,1,1))*2,(_xlfn.NORM.DIST(G13,0,1,1))*2)),IF(G8&gt;0,(1-_xlfn.NORM.DIST(G8,0,1,1))*2,(_xlfn.NORM.DIST(G8,0,1,1))*2)),IF(G14&gt;0,(1-_xlfn.T.DIST(G14,G10-1,1))*2,(_xlfn.T.DIST(G14,G10-1,1))*2))</f>
        <v>2.994294096295811E-2</v>
      </c>
      <c r="H18" s="31"/>
      <c r="I18" s="45" t="s">
        <v>120</v>
      </c>
      <c r="J18" s="94">
        <f>J7-J17</f>
        <v>0.94578074399002143</v>
      </c>
      <c r="K18" s="2" t="e">
        <f>K7-K17</f>
        <v>#DIV/0!</v>
      </c>
      <c r="M18" s="2"/>
    </row>
    <row r="19" spans="1:14" ht="16.5" x14ac:dyDescent="0.45">
      <c r="A19" s="45" t="s">
        <v>95</v>
      </c>
      <c r="B19" s="47" t="str" cm="1">
        <f t="array" ref="B19">IF(B18=0,IF(P&gt;a,"Fail to reject H0, not sufficient","B18&lt;B5,P&lt;a,Null must go, sufficient"),IF(B18&gt;B5,"P&gt;a,Fail to reject H0, sufficient","p&lt;a,null must go, sufficient"))</f>
        <v>p&lt;a,null must go, sufficient</v>
      </c>
      <c r="C19" s="47" t="str">
        <f t="shared" ref="C19" si="9">IF(C18=0,IF(C18&gt;C5,"Fail to reject H0","reject H0"),IF(C18&gt;C5,"Fail to reject H0","reject H0"))</f>
        <v>reject H0</v>
      </c>
      <c r="D19" s="47" t="str" cm="1">
        <f t="array" ref="D19">IF(D18=0,IF(P&gt;a,"Fail to reject H0, not sufficient","B18&lt;B5,P&lt;a,Null must go, sufficient"),IF(D18&gt;D5,"P&gt;a,Fail to reject H0, sufficient","p&lt;a,null must go, sufficient"))</f>
        <v>p&lt;a,null must go, sufficient</v>
      </c>
      <c r="E19" s="47" t="str">
        <f>IF(E18&gt;E5,"P&gt;a,Fail to reject H0, sufficient","p&lt;a,null must go, sufficient")</f>
        <v>p&lt;a,null must go, sufficient</v>
      </c>
      <c r="F19" s="47" t="str" cm="1">
        <f t="array" ref="F19">IF(F18=0,IF(P&gt;a,"Fail to reject H0, not sufficient","B18&lt;B5,P&lt;a,Null must go, sufficient"),IF(F18&gt;F5,"P&gt;a,Fail to reject H0, sufficient","p&lt;a,null must go, sufficient"))</f>
        <v>P&gt;a,Fail to reject H0, sufficient</v>
      </c>
      <c r="G19" s="47" t="str" cm="1">
        <f t="array" ref="G19">IF(G18=0,IF(P&gt;a,"Fail to reject H0, not sufficient","B18&lt;B5,P&lt;a,Null must go, sufficient"),IF(G18&gt;G5,"P&gt;a,Fail to reject H0, sufficient","p&lt;a,null must go, sufficient"))</f>
        <v>p&lt;a,null must go, sufficient</v>
      </c>
      <c r="I19" s="45" t="s">
        <v>121</v>
      </c>
      <c r="J19" s="94">
        <f>J7+J17</f>
        <v>4.3742192560099786</v>
      </c>
      <c r="K19" s="2" t="e">
        <f>K7+K17</f>
        <v>#DIV/0!</v>
      </c>
      <c r="M19" s="2"/>
      <c r="N19" s="57"/>
    </row>
    <row r="20" spans="1:14" x14ac:dyDescent="0.35">
      <c r="A20" s="45" t="s">
        <v>94</v>
      </c>
      <c r="B20" t="str">
        <f>IF(B16&gt;B5,"If P&gt;α, Fail to rejectH0, not sufficient evidence to support","if P&lt;=α, Reject H0,  There is sufficient evidence to suppot claim....")</f>
        <v>if P&lt;=α, Reject H0,  There is sufficient evidence to suppot claim....</v>
      </c>
      <c r="D20" t="str">
        <f>IF(D16&gt;D5,"If P&gt;α, Fail to rejectH0, not sufficient evidence to support","if P&lt;=α, Reject H0,  There is sufficient evidence to suppot claim....")</f>
        <v>if P&lt;=α, Reject H0,  There is sufficient evidence to suppot claim....</v>
      </c>
      <c r="E20" t="str">
        <f>IF(E16&gt;E5,"If P&gt;α, Fail to rejectH0, not sufficient","if P&lt;=α, Reject H0,sufficient")</f>
        <v>if P&lt;=α, Reject H0,sufficient</v>
      </c>
      <c r="F20" t="str">
        <f>IF(F16&gt;F5,"If P&gt;α, Fail to rejectH0, not sufficient evidence to support","if P&lt;=α, Reject H0,  There is sufficient evidence to suppot claim....")</f>
        <v>If P&gt;α, Fail to rejectH0, not sufficient evidence to support</v>
      </c>
      <c r="G20" t="str">
        <f>IF(G16&gt;G5,"If P&gt;α, Fail to rejectH0, not sufficient evidence to support","if P&lt;=α, Reject H0,  There is sufficient evidence to suppot claim....")</f>
        <v>if P&lt;=α, Reject H0,  There is sufficient evidence to suppot claim....</v>
      </c>
      <c r="I20" s="45"/>
      <c r="J20" s="8"/>
      <c r="L20" s="1"/>
    </row>
    <row r="21" spans="1:14" ht="15" thickBot="1" x14ac:dyDescent="0.4">
      <c r="E21" s="71"/>
      <c r="I21" s="45"/>
      <c r="J21" s="8"/>
      <c r="L21" s="1"/>
    </row>
    <row r="22" spans="1:14" x14ac:dyDescent="0.35">
      <c r="C22">
        <f>COUNT(B$26:B$197)</f>
        <v>50</v>
      </c>
      <c r="D22" t="s">
        <v>6</v>
      </c>
      <c r="E22" s="81"/>
      <c r="F22" s="82" t="s">
        <v>139</v>
      </c>
      <c r="G22" s="83">
        <f>_xlfn.STDEV.P(E25:E30)</f>
        <v>191.58722991542695</v>
      </c>
      <c r="H22" s="29"/>
      <c r="I22" t="s">
        <v>122</v>
      </c>
      <c r="J22" t="s">
        <v>147</v>
      </c>
      <c r="K22" t="s">
        <v>148</v>
      </c>
    </row>
    <row r="23" spans="1:14" x14ac:dyDescent="0.35">
      <c r="C23" s="2">
        <f>_xlfn.STDEV.S(B$26:B$198)</f>
        <v>21.446554359093469</v>
      </c>
      <c r="D23" t="s">
        <v>105</v>
      </c>
      <c r="E23" s="84"/>
      <c r="F23" s="16" t="s">
        <v>44</v>
      </c>
      <c r="G23" s="85">
        <f>AVERAGE(E25:E30)</f>
        <v>765</v>
      </c>
      <c r="H23" s="29"/>
      <c r="I23" s="62">
        <v>1</v>
      </c>
      <c r="J23" s="96">
        <v>105.3</v>
      </c>
      <c r="K23" s="96">
        <v>104.6</v>
      </c>
      <c r="L23" s="96">
        <f>J23-K23</f>
        <v>0.70000000000000284</v>
      </c>
    </row>
    <row r="24" spans="1:14" x14ac:dyDescent="0.35">
      <c r="C24" s="2">
        <f>AVERAGE(B$26:B$198)</f>
        <v>70.62</v>
      </c>
      <c r="D24" t="s">
        <v>44</v>
      </c>
      <c r="E24" s="84"/>
      <c r="F24" s="16" t="s">
        <v>6</v>
      </c>
      <c r="G24" s="86">
        <f>COUNT(E25:E200)</f>
        <v>6</v>
      </c>
      <c r="I24" s="63">
        <v>2</v>
      </c>
      <c r="J24" s="96">
        <v>124.8</v>
      </c>
      <c r="K24" s="96">
        <v>119.5</v>
      </c>
      <c r="L24" s="96">
        <f t="shared" ref="L24:L32" si="10">J24-K24</f>
        <v>5.2999999999999972</v>
      </c>
    </row>
    <row r="25" spans="1:14" x14ac:dyDescent="0.35">
      <c r="B25" t="s">
        <v>140</v>
      </c>
      <c r="C25" s="2"/>
      <c r="D25" s="2"/>
      <c r="E25" s="84">
        <v>780</v>
      </c>
      <c r="F25" s="16"/>
      <c r="G25" s="86"/>
      <c r="I25" s="62">
        <v>3</v>
      </c>
      <c r="J25" s="96">
        <v>103.9</v>
      </c>
      <c r="K25" s="96">
        <v>98.7</v>
      </c>
      <c r="L25" s="96">
        <f t="shared" si="10"/>
        <v>5.2000000000000028</v>
      </c>
    </row>
    <row r="26" spans="1:14" x14ac:dyDescent="0.35">
      <c r="B26">
        <v>84</v>
      </c>
      <c r="C26" s="2"/>
      <c r="D26" s="2"/>
      <c r="E26" s="84">
        <v>789</v>
      </c>
      <c r="F26" s="16"/>
      <c r="G26" s="86"/>
      <c r="I26" s="62">
        <v>4</v>
      </c>
      <c r="J26" s="96">
        <v>74.5</v>
      </c>
      <c r="K26" s="96">
        <v>75.2</v>
      </c>
      <c r="L26" s="96">
        <f t="shared" si="10"/>
        <v>-0.70000000000000284</v>
      </c>
    </row>
    <row r="27" spans="1:14" x14ac:dyDescent="0.35">
      <c r="B27">
        <v>78</v>
      </c>
      <c r="C27" s="2"/>
      <c r="D27" s="2"/>
      <c r="E27" s="84">
        <v>1154</v>
      </c>
      <c r="F27" s="16"/>
      <c r="G27" s="86"/>
      <c r="I27" s="62">
        <v>5</v>
      </c>
      <c r="J27" s="96">
        <v>65.099999999999994</v>
      </c>
      <c r="K27" s="96">
        <v>59.7</v>
      </c>
      <c r="L27" s="96">
        <f t="shared" si="10"/>
        <v>5.3999999999999915</v>
      </c>
    </row>
    <row r="28" spans="1:14" x14ac:dyDescent="0.35">
      <c r="B28">
        <v>99</v>
      </c>
      <c r="E28" s="84">
        <v>673</v>
      </c>
      <c r="F28" s="16"/>
      <c r="G28" s="86"/>
      <c r="I28" s="62">
        <v>6</v>
      </c>
      <c r="J28" s="96">
        <v>110</v>
      </c>
      <c r="K28" s="96">
        <v>106.7</v>
      </c>
      <c r="L28" s="96">
        <f t="shared" si="10"/>
        <v>3.2999999999999972</v>
      </c>
    </row>
    <row r="29" spans="1:14" x14ac:dyDescent="0.35">
      <c r="B29">
        <v>46</v>
      </c>
      <c r="E29" s="84">
        <v>637</v>
      </c>
      <c r="F29" s="16"/>
      <c r="G29" s="86"/>
      <c r="I29" s="62">
        <v>7</v>
      </c>
      <c r="J29" s="96">
        <v>82.6</v>
      </c>
      <c r="K29" s="96">
        <v>78.400000000000006</v>
      </c>
      <c r="L29" s="96">
        <f t="shared" si="10"/>
        <v>4.1999999999999886</v>
      </c>
    </row>
    <row r="30" spans="1:14" x14ac:dyDescent="0.35">
      <c r="B30">
        <v>103</v>
      </c>
      <c r="E30" s="84">
        <v>557</v>
      </c>
      <c r="F30" s="16"/>
      <c r="G30" s="86"/>
      <c r="I30" s="62">
        <v>8</v>
      </c>
      <c r="J30" s="96">
        <v>137.30000000000001</v>
      </c>
      <c r="K30" s="96">
        <v>132.69999999999999</v>
      </c>
      <c r="L30" s="96">
        <f t="shared" si="10"/>
        <v>4.6000000000000227</v>
      </c>
    </row>
    <row r="31" spans="1:14" x14ac:dyDescent="0.35">
      <c r="B31">
        <v>38</v>
      </c>
      <c r="E31" s="84"/>
      <c r="F31" s="16"/>
      <c r="G31" s="86"/>
      <c r="I31" s="62">
        <v>9</v>
      </c>
      <c r="J31" s="96">
        <v>88.9</v>
      </c>
      <c r="K31" s="96">
        <v>92.2</v>
      </c>
      <c r="L31" s="96">
        <f t="shared" si="10"/>
        <v>-3.2999999999999972</v>
      </c>
    </row>
    <row r="32" spans="1:14" x14ac:dyDescent="0.35">
      <c r="B32">
        <v>35</v>
      </c>
      <c r="E32" s="84"/>
      <c r="F32" s="16"/>
      <c r="G32" s="86"/>
      <c r="I32" s="62">
        <v>10</v>
      </c>
      <c r="J32" s="96">
        <v>57</v>
      </c>
      <c r="K32" s="96">
        <v>55.1</v>
      </c>
      <c r="L32" s="96">
        <f t="shared" si="10"/>
        <v>1.8999999999999986</v>
      </c>
    </row>
    <row r="33" spans="2:12" x14ac:dyDescent="0.35">
      <c r="B33">
        <v>36</v>
      </c>
      <c r="E33" s="84"/>
      <c r="F33" s="16"/>
      <c r="G33" s="86"/>
      <c r="I33" s="62">
        <v>11</v>
      </c>
      <c r="J33" s="62"/>
      <c r="K33" s="62"/>
      <c r="L33" s="62"/>
    </row>
    <row r="34" spans="2:12" x14ac:dyDescent="0.35">
      <c r="B34">
        <v>36</v>
      </c>
      <c r="E34" s="84"/>
      <c r="F34" s="16"/>
      <c r="G34" s="86"/>
      <c r="I34">
        <v>12</v>
      </c>
      <c r="L34" s="62"/>
    </row>
    <row r="35" spans="2:12" x14ac:dyDescent="0.35">
      <c r="B35">
        <v>75</v>
      </c>
      <c r="E35" s="84"/>
      <c r="F35" s="16"/>
      <c r="G35" s="86"/>
      <c r="I35">
        <v>13</v>
      </c>
      <c r="L35" s="62"/>
    </row>
    <row r="36" spans="2:12" x14ac:dyDescent="0.35">
      <c r="B36">
        <v>63</v>
      </c>
      <c r="E36" s="84"/>
      <c r="F36" s="16"/>
      <c r="G36" s="86"/>
      <c r="I36">
        <v>14</v>
      </c>
      <c r="L36" s="62"/>
    </row>
    <row r="37" spans="2:12" x14ac:dyDescent="0.35">
      <c r="B37">
        <v>78</v>
      </c>
      <c r="E37" s="84"/>
      <c r="F37" s="16"/>
      <c r="G37" s="86"/>
      <c r="I37">
        <v>15</v>
      </c>
      <c r="L37" s="62"/>
    </row>
    <row r="38" spans="2:12" x14ac:dyDescent="0.35">
      <c r="B38">
        <v>44</v>
      </c>
      <c r="E38" s="84"/>
      <c r="F38" s="16"/>
      <c r="G38" s="86"/>
      <c r="I38">
        <v>16</v>
      </c>
      <c r="L38" s="62"/>
    </row>
    <row r="39" spans="2:12" ht="15" thickBot="1" x14ac:dyDescent="0.4">
      <c r="B39">
        <v>83</v>
      </c>
      <c r="E39" s="87"/>
      <c r="F39" s="88"/>
      <c r="G39" s="89"/>
      <c r="I39">
        <v>17</v>
      </c>
      <c r="L39" s="62"/>
    </row>
    <row r="40" spans="2:12" x14ac:dyDescent="0.35">
      <c r="B40">
        <v>83</v>
      </c>
      <c r="I40">
        <v>18</v>
      </c>
      <c r="L40" s="62"/>
    </row>
    <row r="41" spans="2:12" x14ac:dyDescent="0.35">
      <c r="B41">
        <v>50</v>
      </c>
      <c r="I41">
        <v>19</v>
      </c>
      <c r="L41" s="62"/>
    </row>
    <row r="42" spans="2:12" x14ac:dyDescent="0.35">
      <c r="B42">
        <v>44</v>
      </c>
      <c r="I42">
        <v>20</v>
      </c>
      <c r="L42" s="62"/>
    </row>
    <row r="43" spans="2:12" x14ac:dyDescent="0.35">
      <c r="B43">
        <v>53</v>
      </c>
      <c r="I43">
        <v>21</v>
      </c>
      <c r="L43" s="62"/>
    </row>
    <row r="44" spans="2:12" x14ac:dyDescent="0.35">
      <c r="B44">
        <v>45</v>
      </c>
      <c r="I44">
        <v>22</v>
      </c>
      <c r="L44" s="62"/>
    </row>
    <row r="45" spans="2:12" x14ac:dyDescent="0.35">
      <c r="B45">
        <v>62</v>
      </c>
      <c r="I45">
        <v>23</v>
      </c>
      <c r="L45" s="62"/>
    </row>
    <row r="46" spans="2:12" x14ac:dyDescent="0.35">
      <c r="B46">
        <v>66</v>
      </c>
      <c r="I46">
        <v>24</v>
      </c>
      <c r="L46" s="62"/>
    </row>
    <row r="47" spans="2:12" x14ac:dyDescent="0.35">
      <c r="B47">
        <v>102</v>
      </c>
      <c r="I47">
        <v>25</v>
      </c>
      <c r="L47" s="62"/>
    </row>
    <row r="48" spans="2:12" x14ac:dyDescent="0.35">
      <c r="B48">
        <v>49</v>
      </c>
      <c r="I48">
        <v>26</v>
      </c>
      <c r="L48" s="62"/>
    </row>
    <row r="49" spans="2:12" x14ac:dyDescent="0.35">
      <c r="B49">
        <v>83</v>
      </c>
      <c r="I49">
        <v>27</v>
      </c>
      <c r="L49" s="62"/>
    </row>
    <row r="50" spans="2:12" x14ac:dyDescent="0.35">
      <c r="B50">
        <v>71</v>
      </c>
      <c r="I50">
        <v>28</v>
      </c>
      <c r="L50" s="62"/>
    </row>
    <row r="51" spans="2:12" x14ac:dyDescent="0.35">
      <c r="B51">
        <v>89</v>
      </c>
      <c r="I51">
        <v>29</v>
      </c>
      <c r="L51" s="62"/>
    </row>
    <row r="52" spans="2:12" x14ac:dyDescent="0.35">
      <c r="B52">
        <v>87</v>
      </c>
      <c r="I52">
        <v>30</v>
      </c>
      <c r="L52" s="62"/>
    </row>
    <row r="53" spans="2:12" x14ac:dyDescent="0.35">
      <c r="B53">
        <v>76</v>
      </c>
    </row>
    <row r="54" spans="2:12" x14ac:dyDescent="0.35">
      <c r="B54">
        <v>83</v>
      </c>
    </row>
    <row r="55" spans="2:12" x14ac:dyDescent="0.35">
      <c r="B55">
        <v>96</v>
      </c>
    </row>
    <row r="56" spans="2:12" x14ac:dyDescent="0.35">
      <c r="B56">
        <v>104</v>
      </c>
    </row>
    <row r="57" spans="2:12" x14ac:dyDescent="0.35">
      <c r="B57">
        <v>75</v>
      </c>
    </row>
    <row r="58" spans="2:12" x14ac:dyDescent="0.35">
      <c r="B58">
        <v>35</v>
      </c>
    </row>
    <row r="59" spans="2:12" x14ac:dyDescent="0.35">
      <c r="B59">
        <v>75</v>
      </c>
    </row>
    <row r="60" spans="2:12" x14ac:dyDescent="0.35">
      <c r="B60">
        <v>44</v>
      </c>
    </row>
    <row r="61" spans="2:12" x14ac:dyDescent="0.35">
      <c r="B61">
        <v>73</v>
      </c>
    </row>
    <row r="62" spans="2:12" x14ac:dyDescent="0.35">
      <c r="B62">
        <v>59</v>
      </c>
    </row>
    <row r="63" spans="2:12" x14ac:dyDescent="0.35">
      <c r="B63">
        <v>77</v>
      </c>
    </row>
    <row r="64" spans="2:12" x14ac:dyDescent="0.35">
      <c r="B64">
        <v>65</v>
      </c>
    </row>
    <row r="65" spans="2:2" x14ac:dyDescent="0.35">
      <c r="B65">
        <v>83</v>
      </c>
    </row>
    <row r="66" spans="2:2" x14ac:dyDescent="0.35">
      <c r="B66">
        <v>49</v>
      </c>
    </row>
    <row r="67" spans="2:2" x14ac:dyDescent="0.35">
      <c r="B67">
        <v>105</v>
      </c>
    </row>
    <row r="68" spans="2:2" x14ac:dyDescent="0.35">
      <c r="B68">
        <v>82</v>
      </c>
    </row>
    <row r="69" spans="2:2" x14ac:dyDescent="0.35">
      <c r="B69">
        <v>104</v>
      </c>
    </row>
    <row r="70" spans="2:2" x14ac:dyDescent="0.35">
      <c r="B70">
        <v>85</v>
      </c>
    </row>
    <row r="71" spans="2:2" x14ac:dyDescent="0.35">
      <c r="B71">
        <v>42</v>
      </c>
    </row>
    <row r="72" spans="2:2" x14ac:dyDescent="0.35">
      <c r="B72">
        <v>98</v>
      </c>
    </row>
    <row r="73" spans="2:2" x14ac:dyDescent="0.35">
      <c r="B73">
        <v>87</v>
      </c>
    </row>
    <row r="74" spans="2:2" x14ac:dyDescent="0.35">
      <c r="B74">
        <v>87</v>
      </c>
    </row>
    <row r="75" spans="2:2" x14ac:dyDescent="0.35">
      <c r="B75">
        <v>65</v>
      </c>
    </row>
  </sheetData>
  <pageMargins left="0.7" right="0.7" top="0.75" bottom="0.75" header="0.3" footer="0.3"/>
  <pageSetup orientation="portrait" verticalDpi="30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F3E5A-EE1F-4DC7-B58B-D076027B92F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53D47-06C9-4D4B-9395-3E2A5AE73569}">
  <dimension ref="A1:H78"/>
  <sheetViews>
    <sheetView zoomScaleNormal="100" workbookViewId="0">
      <selection activeCell="B8" sqref="B8"/>
    </sheetView>
  </sheetViews>
  <sheetFormatPr defaultRowHeight="14.5" x14ac:dyDescent="0.35"/>
  <cols>
    <col min="1" max="1" width="18.7265625" customWidth="1"/>
    <col min="2" max="2" width="10.7265625" customWidth="1"/>
    <col min="3" max="3" width="36.36328125" customWidth="1"/>
    <col min="4" max="4" width="11.6328125" customWidth="1"/>
    <col min="5" max="5" width="22.7265625" bestFit="1" customWidth="1"/>
    <col min="6" max="6" width="11.81640625" customWidth="1"/>
    <col min="7" max="7" width="15.08984375" bestFit="1" customWidth="1"/>
    <col min="8" max="8" width="9.54296875" customWidth="1"/>
    <col min="9" max="9" width="3.08984375" customWidth="1"/>
    <col min="10" max="10" width="4.453125" customWidth="1"/>
  </cols>
  <sheetData>
    <row r="1" spans="1:8" ht="16.5" x14ac:dyDescent="0.45">
      <c r="A1" t="s">
        <v>107</v>
      </c>
      <c r="B1" t="s">
        <v>108</v>
      </c>
      <c r="C1">
        <v>0</v>
      </c>
      <c r="E1">
        <v>0</v>
      </c>
    </row>
    <row r="2" spans="1:8" ht="16.5" x14ac:dyDescent="0.45">
      <c r="A2" t="s">
        <v>109</v>
      </c>
      <c r="B2" s="54" t="s">
        <v>131</v>
      </c>
      <c r="C2">
        <v>0</v>
      </c>
      <c r="D2" s="54"/>
      <c r="E2">
        <v>0</v>
      </c>
      <c r="G2" t="s">
        <v>127</v>
      </c>
      <c r="H2">
        <v>5.0000000000000001E-3</v>
      </c>
    </row>
    <row r="3" spans="1:8" x14ac:dyDescent="0.35">
      <c r="A3" s="45" t="s">
        <v>6</v>
      </c>
      <c r="B3">
        <f>COUNT(D23:D221)</f>
        <v>5</v>
      </c>
      <c r="G3" s="64" t="s">
        <v>123</v>
      </c>
      <c r="H3">
        <v>-0.47299999999999998</v>
      </c>
    </row>
    <row r="4" spans="1:8" x14ac:dyDescent="0.35">
      <c r="A4" s="46" t="s">
        <v>110</v>
      </c>
      <c r="B4">
        <v>0.05</v>
      </c>
      <c r="C4">
        <v>0.8</v>
      </c>
      <c r="G4" s="64" t="s">
        <v>130</v>
      </c>
      <c r="H4">
        <v>-7.25</v>
      </c>
    </row>
    <row r="5" spans="1:8" ht="16.5" x14ac:dyDescent="0.45">
      <c r="A5" s="46" t="s">
        <v>111</v>
      </c>
      <c r="B5" s="1">
        <f>IF(B4&lt;0.5,-_xlfn.T.INV((B4),B3-1),-_xlfn.T.INV((1-B4)/2,B3-1))</f>
        <v>2.1318467863266499</v>
      </c>
      <c r="C5">
        <f>-_xlfn.T.INV(B4,B3-1)</f>
        <v>2.1318467863266499</v>
      </c>
      <c r="D5" s="1"/>
      <c r="G5" s="64" t="s">
        <v>124</v>
      </c>
      <c r="H5">
        <v>1.986</v>
      </c>
    </row>
    <row r="6" spans="1:8" x14ac:dyDescent="0.35">
      <c r="A6" s="45" t="s">
        <v>112</v>
      </c>
      <c r="B6">
        <f>B3-1</f>
        <v>4</v>
      </c>
      <c r="C6" s="58"/>
      <c r="G6" s="64" t="s">
        <v>125</v>
      </c>
      <c r="H6">
        <v>93</v>
      </c>
    </row>
    <row r="7" spans="1:8" ht="16.5" x14ac:dyDescent="0.45">
      <c r="A7" s="45" t="s">
        <v>113</v>
      </c>
      <c r="B7">
        <f>AVERAGE(D23:D100)</f>
        <v>-24.8</v>
      </c>
      <c r="C7" s="1"/>
      <c r="G7" s="64" t="s">
        <v>126</v>
      </c>
      <c r="H7" t="s">
        <v>128</v>
      </c>
    </row>
    <row r="8" spans="1:8" ht="16.5" x14ac:dyDescent="0.45">
      <c r="A8" s="45" t="s">
        <v>114</v>
      </c>
      <c r="B8" s="1">
        <f>_xlfn.STDEV.S(D23:D221)</f>
        <v>10.663020210053062</v>
      </c>
      <c r="D8" s="1"/>
      <c r="G8" s="64" t="s">
        <v>127</v>
      </c>
      <c r="H8">
        <v>0.05</v>
      </c>
    </row>
    <row r="9" spans="1:8" ht="16.5" x14ac:dyDescent="0.45">
      <c r="A9" s="59" t="s">
        <v>115</v>
      </c>
      <c r="B9" s="37">
        <f>(B7-C1)/(B8/SQRT(B3))</f>
        <v>-5.2006359126762662</v>
      </c>
      <c r="D9" s="37"/>
      <c r="G9" s="65" t="s">
        <v>129</v>
      </c>
    </row>
    <row r="10" spans="1:8" x14ac:dyDescent="0.35">
      <c r="A10" s="45" t="s">
        <v>116</v>
      </c>
      <c r="B10" t="str">
        <f>IF(B11&lt;B9,"sts&lt;t: reject the null", "sts&gt;t: do not reject the null")</f>
        <v>sts&gt;t: do not reject the null</v>
      </c>
      <c r="G10" s="65"/>
    </row>
    <row r="11" spans="1:8" ht="16.5" x14ac:dyDescent="0.45">
      <c r="A11" s="45" t="s">
        <v>117</v>
      </c>
      <c r="B11" s="60">
        <f>IF(B4&lt;0.5,_xlfn.T.INV.2T(B4,B3-1),_xlfn.T.INV.2T((1-B4)/2,B3-1))</f>
        <v>2.7764451051977934</v>
      </c>
      <c r="C11" s="2">
        <f>IF(C4&lt;0.5,_xlfn.T.INV.2T(C4,B3-1),_xlfn.T.INV.2T((1-C4)/2,B3-1))</f>
        <v>2.1318467863266504</v>
      </c>
      <c r="D11" s="60"/>
      <c r="G11" s="65"/>
    </row>
    <row r="12" spans="1:8" x14ac:dyDescent="0.35">
      <c r="A12" s="45" t="s">
        <v>118</v>
      </c>
      <c r="B12" s="61">
        <f>IF(B9&gt;0,1-_xlfn.T.DIST(B9,B3-1,1),_xlfn.T.DIST(B9,B3-1,1))</f>
        <v>3.2566517755368745E-3</v>
      </c>
      <c r="C12" s="2">
        <f>IF(B9&gt;0,1-_xlfn.T.DIST(B9,B3-1,1),_xlfn.T.DIST(B9,B3-1,1))</f>
        <v>3.2566517755368745E-3</v>
      </c>
      <c r="D12" s="61"/>
      <c r="G12" s="65"/>
    </row>
    <row r="13" spans="1:8" ht="16.5" x14ac:dyDescent="0.45">
      <c r="A13" s="45" t="s">
        <v>106</v>
      </c>
      <c r="B13" s="1">
        <f>IF(B9&gt;0,(1-_xlfn.T.DIST(B9,B3-1,1))*2,(_xlfn.T.DIST(B9,B3-1,1))*2)</f>
        <v>6.5133035510737489E-3</v>
      </c>
      <c r="C13" s="34">
        <f>IF(B9&gt;0,1-_xlfn.T.DIST(B9,B3-1,1)*2,_xlfn.T.DIST(B9,B3-1,1)*2)</f>
        <v>6.5133035510737489E-3</v>
      </c>
      <c r="D13" s="1"/>
      <c r="G13" s="65"/>
    </row>
    <row r="14" spans="1:8" x14ac:dyDescent="0.35">
      <c r="A14" s="45" t="s">
        <v>93</v>
      </c>
      <c r="B14" s="47" t="str">
        <f>IF(B12&gt;B4,"P&gt;a,Fail to reject H0,not sufficient","P&lt;a, reject H0, is sufficient")</f>
        <v>P&lt;a, reject H0, is sufficient</v>
      </c>
      <c r="C14" s="45"/>
      <c r="D14" s="47"/>
      <c r="G14" s="65"/>
    </row>
    <row r="15" spans="1:8" x14ac:dyDescent="0.35">
      <c r="A15" s="45" t="s">
        <v>95</v>
      </c>
      <c r="B15" t="str">
        <f>IF(B13=0,IF(B13&gt;B4,"p&gt;a,Fail to reject H0,not sufficient","P&lt;a,reject H0,Sufficient"),IF(B13&gt;B4,"p&gt;a,Fail to reject H0,not sufficient","P&lt;a,reject H0,Sufficient"))</f>
        <v>P&lt;a,reject H0,Sufficient</v>
      </c>
      <c r="C15" s="45"/>
    </row>
    <row r="16" spans="1:8" x14ac:dyDescent="0.35">
      <c r="A16" s="45" t="s">
        <v>94</v>
      </c>
      <c r="B16" t="str">
        <f>IF(B9&gt;B4,"If P&gt;α, Fail to rejectH0, not sufficient evidence to support","if P&lt;=α, Reject H0,  There is sufficient evidence to suppot claim....")</f>
        <v>if P&lt;=α, Reject H0,  There is sufficient evidence to suppot claim....</v>
      </c>
      <c r="C16" s="45" t="str">
        <f>IF(AND(B18&lt;B9,B9&lt;B19),"in mean is enough evid., reject","not in mean,enough evid, fail to reject H0")</f>
        <v>not in mean,enough evid, fail to reject H0</v>
      </c>
    </row>
    <row r="17" spans="1:5" x14ac:dyDescent="0.35">
      <c r="A17" s="45" t="s">
        <v>119</v>
      </c>
      <c r="B17">
        <f>B5*(B8/SQRT(B3))</f>
        <v>10.166026076163813</v>
      </c>
    </row>
    <row r="18" spans="1:5" ht="16.5" x14ac:dyDescent="0.45">
      <c r="A18" s="45" t="s">
        <v>120</v>
      </c>
      <c r="B18" s="2">
        <f>B7-B17</f>
        <v>-34.966026076163814</v>
      </c>
      <c r="D18" s="2"/>
    </row>
    <row r="19" spans="1:5" ht="16.5" x14ac:dyDescent="0.45">
      <c r="A19" s="45" t="s">
        <v>121</v>
      </c>
      <c r="B19" s="2">
        <f>B7+B17</f>
        <v>-14.633973923836187</v>
      </c>
      <c r="D19" s="2"/>
    </row>
    <row r="20" spans="1:5" x14ac:dyDescent="0.35">
      <c r="A20" s="45"/>
      <c r="B20" s="8"/>
      <c r="D20" s="1"/>
    </row>
    <row r="21" spans="1:5" x14ac:dyDescent="0.35">
      <c r="A21" s="45"/>
      <c r="B21" s="8"/>
      <c r="D21" s="1"/>
    </row>
    <row r="22" spans="1:5" x14ac:dyDescent="0.35">
      <c r="A22" t="s">
        <v>122</v>
      </c>
      <c r="B22" t="s">
        <v>132</v>
      </c>
      <c r="C22" t="s">
        <v>133</v>
      </c>
      <c r="E22" s="1"/>
    </row>
    <row r="23" spans="1:5" x14ac:dyDescent="0.35">
      <c r="A23" s="62">
        <v>1</v>
      </c>
      <c r="B23" s="62">
        <v>149</v>
      </c>
      <c r="C23" s="62">
        <v>180</v>
      </c>
      <c r="D23" s="62">
        <f>B23-C23</f>
        <v>-31</v>
      </c>
    </row>
    <row r="24" spans="1:5" x14ac:dyDescent="0.35">
      <c r="A24" s="63">
        <v>2</v>
      </c>
      <c r="B24" s="62">
        <v>149</v>
      </c>
      <c r="C24" s="62">
        <v>163</v>
      </c>
      <c r="D24" s="62">
        <f t="shared" ref="D24:D27" si="0">B24-C24</f>
        <v>-14</v>
      </c>
    </row>
    <row r="25" spans="1:5" x14ac:dyDescent="0.35">
      <c r="A25" s="62">
        <v>3</v>
      </c>
      <c r="B25" s="62">
        <v>139</v>
      </c>
      <c r="C25" s="62">
        <v>179</v>
      </c>
      <c r="D25" s="62">
        <f t="shared" si="0"/>
        <v>-40</v>
      </c>
    </row>
    <row r="26" spans="1:5" x14ac:dyDescent="0.35">
      <c r="A26" s="62">
        <v>4</v>
      </c>
      <c r="B26" s="62">
        <v>137</v>
      </c>
      <c r="C26" s="62">
        <v>154</v>
      </c>
      <c r="D26" s="62">
        <f t="shared" si="0"/>
        <v>-17</v>
      </c>
    </row>
    <row r="27" spans="1:5" x14ac:dyDescent="0.35">
      <c r="A27" s="62">
        <v>5</v>
      </c>
      <c r="B27" s="62">
        <v>131</v>
      </c>
      <c r="C27" s="62">
        <v>153</v>
      </c>
      <c r="D27" s="62">
        <f t="shared" si="0"/>
        <v>-22</v>
      </c>
    </row>
    <row r="28" spans="1:5" x14ac:dyDescent="0.35">
      <c r="A28" s="62">
        <v>6</v>
      </c>
      <c r="B28" s="62"/>
      <c r="C28" s="62"/>
      <c r="D28" s="62"/>
    </row>
    <row r="29" spans="1:5" x14ac:dyDescent="0.35">
      <c r="A29" s="62">
        <v>7</v>
      </c>
      <c r="B29" s="62"/>
      <c r="C29" s="62"/>
      <c r="D29" s="62"/>
      <c r="E29" s="62"/>
    </row>
    <row r="30" spans="1:5" x14ac:dyDescent="0.35">
      <c r="A30" s="62">
        <v>8</v>
      </c>
      <c r="B30" s="62"/>
      <c r="C30" s="62"/>
      <c r="D30" s="62"/>
    </row>
    <row r="31" spans="1:5" x14ac:dyDescent="0.35">
      <c r="A31" s="62">
        <v>9</v>
      </c>
      <c r="B31" s="62"/>
      <c r="C31" s="62"/>
      <c r="D31" s="62"/>
    </row>
    <row r="32" spans="1:5" x14ac:dyDescent="0.35">
      <c r="A32" s="62">
        <v>10</v>
      </c>
      <c r="B32" s="62"/>
      <c r="C32" s="62"/>
      <c r="D32" s="62"/>
    </row>
    <row r="33" spans="1:4" x14ac:dyDescent="0.35">
      <c r="A33" s="62">
        <v>11</v>
      </c>
      <c r="B33" s="62"/>
      <c r="C33" s="62"/>
      <c r="D33" s="62"/>
    </row>
    <row r="34" spans="1:4" x14ac:dyDescent="0.35">
      <c r="A34" s="62">
        <v>12</v>
      </c>
      <c r="B34" s="62"/>
      <c r="C34" s="62"/>
      <c r="D34" s="62"/>
    </row>
    <row r="35" spans="1:4" x14ac:dyDescent="0.35">
      <c r="A35" s="62">
        <v>13</v>
      </c>
      <c r="B35" s="62"/>
      <c r="C35" s="62"/>
      <c r="D35" s="62"/>
    </row>
    <row r="36" spans="1:4" x14ac:dyDescent="0.35">
      <c r="A36" s="62">
        <v>14</v>
      </c>
      <c r="B36" s="62"/>
      <c r="C36" s="62"/>
      <c r="D36" s="62"/>
    </row>
    <row r="37" spans="1:4" x14ac:dyDescent="0.35">
      <c r="A37" s="62">
        <v>15</v>
      </c>
      <c r="B37" s="62"/>
      <c r="C37" s="62"/>
      <c r="D37" s="62"/>
    </row>
    <row r="38" spans="1:4" x14ac:dyDescent="0.35">
      <c r="A38" s="62">
        <v>16</v>
      </c>
      <c r="B38" s="62"/>
      <c r="C38" s="62"/>
      <c r="D38" s="62"/>
    </row>
    <row r="39" spans="1:4" x14ac:dyDescent="0.35">
      <c r="A39" s="62">
        <v>17</v>
      </c>
      <c r="B39" s="62"/>
      <c r="C39" s="62"/>
      <c r="D39" s="62"/>
    </row>
    <row r="40" spans="1:4" x14ac:dyDescent="0.35">
      <c r="A40" s="62">
        <v>18</v>
      </c>
      <c r="B40" s="62"/>
      <c r="C40" s="62"/>
      <c r="D40" s="62"/>
    </row>
    <row r="41" spans="1:4" x14ac:dyDescent="0.35">
      <c r="A41" s="62">
        <v>19</v>
      </c>
      <c r="B41" s="62"/>
      <c r="C41" s="62"/>
      <c r="D41" s="62"/>
    </row>
    <row r="42" spans="1:4" x14ac:dyDescent="0.35">
      <c r="A42" s="62">
        <v>20</v>
      </c>
      <c r="B42" s="62"/>
      <c r="C42" s="62"/>
      <c r="D42" s="62"/>
    </row>
    <row r="43" spans="1:4" x14ac:dyDescent="0.35">
      <c r="A43" s="62">
        <v>21</v>
      </c>
      <c r="B43" s="62"/>
      <c r="C43" s="62"/>
      <c r="D43" s="62"/>
    </row>
    <row r="44" spans="1:4" x14ac:dyDescent="0.35">
      <c r="A44" s="62">
        <v>22</v>
      </c>
      <c r="B44" s="62"/>
      <c r="C44" s="62"/>
      <c r="D44" s="62"/>
    </row>
    <row r="45" spans="1:4" x14ac:dyDescent="0.35">
      <c r="A45" s="62">
        <v>23</v>
      </c>
      <c r="B45" s="62"/>
      <c r="C45" s="62"/>
      <c r="D45" s="62"/>
    </row>
    <row r="46" spans="1:4" x14ac:dyDescent="0.35">
      <c r="A46" s="62">
        <v>24</v>
      </c>
      <c r="B46" s="62"/>
      <c r="C46" s="62"/>
      <c r="D46" s="62"/>
    </row>
    <row r="47" spans="1:4" x14ac:dyDescent="0.35">
      <c r="A47" s="62">
        <v>25</v>
      </c>
      <c r="B47" s="62"/>
      <c r="C47" s="62"/>
      <c r="D47" s="62"/>
    </row>
    <row r="48" spans="1:4" x14ac:dyDescent="0.35">
      <c r="A48" s="62">
        <v>26</v>
      </c>
      <c r="B48" s="62"/>
      <c r="C48" s="62"/>
      <c r="D48" s="62"/>
    </row>
    <row r="49" spans="1:4" x14ac:dyDescent="0.35">
      <c r="A49" s="62">
        <v>27</v>
      </c>
      <c r="B49" s="62"/>
      <c r="C49" s="62"/>
      <c r="D49" s="62"/>
    </row>
    <row r="50" spans="1:4" x14ac:dyDescent="0.35">
      <c r="A50" s="62">
        <v>28</v>
      </c>
      <c r="B50" s="62"/>
      <c r="C50" s="62"/>
      <c r="D50" s="62"/>
    </row>
    <row r="51" spans="1:4" x14ac:dyDescent="0.35">
      <c r="A51" s="62">
        <v>29</v>
      </c>
      <c r="B51" s="62"/>
      <c r="C51" s="62"/>
      <c r="D51" s="62"/>
    </row>
    <row r="52" spans="1:4" x14ac:dyDescent="0.35">
      <c r="A52" s="62">
        <v>30</v>
      </c>
      <c r="B52" s="62"/>
      <c r="C52" s="62"/>
      <c r="D52" s="62"/>
    </row>
    <row r="53" spans="1:4" x14ac:dyDescent="0.35">
      <c r="A53" s="62"/>
      <c r="B53" s="62"/>
      <c r="C53" s="62"/>
      <c r="D53" s="62"/>
    </row>
    <row r="54" spans="1:4" x14ac:dyDescent="0.35">
      <c r="A54" s="62"/>
      <c r="B54" s="62"/>
      <c r="C54" s="62"/>
      <c r="D54" s="62"/>
    </row>
    <row r="55" spans="1:4" x14ac:dyDescent="0.35">
      <c r="A55" s="62"/>
      <c r="B55" s="62"/>
      <c r="C55" s="62"/>
      <c r="D55" s="62"/>
    </row>
    <row r="56" spans="1:4" x14ac:dyDescent="0.35">
      <c r="A56" s="62"/>
      <c r="B56" s="62"/>
      <c r="C56" s="62"/>
      <c r="D56" s="62"/>
    </row>
    <row r="57" spans="1:4" x14ac:dyDescent="0.35">
      <c r="A57" s="62"/>
      <c r="B57" s="62"/>
      <c r="C57" s="62"/>
      <c r="D57" s="62"/>
    </row>
    <row r="58" spans="1:4" x14ac:dyDescent="0.35">
      <c r="A58" s="62"/>
      <c r="B58" s="62"/>
      <c r="C58" s="62"/>
      <c r="D58" s="62"/>
    </row>
    <row r="59" spans="1:4" x14ac:dyDescent="0.35">
      <c r="A59" s="62"/>
      <c r="B59" s="62"/>
      <c r="C59" s="62"/>
      <c r="D59" s="62"/>
    </row>
    <row r="60" spans="1:4" x14ac:dyDescent="0.35">
      <c r="A60" s="62"/>
      <c r="B60" s="62"/>
      <c r="C60" s="62"/>
      <c r="D60" s="62"/>
    </row>
    <row r="61" spans="1:4" x14ac:dyDescent="0.35">
      <c r="A61" s="62"/>
      <c r="B61" s="62"/>
      <c r="C61" s="62"/>
      <c r="D61" s="62"/>
    </row>
    <row r="62" spans="1:4" x14ac:dyDescent="0.35">
      <c r="A62" s="62"/>
      <c r="B62" s="62"/>
      <c r="C62" s="62"/>
      <c r="D62" s="62"/>
    </row>
    <row r="63" spans="1:4" x14ac:dyDescent="0.35">
      <c r="A63" s="62"/>
      <c r="B63" s="62"/>
      <c r="C63" s="62"/>
      <c r="D63" s="62"/>
    </row>
    <row r="64" spans="1:4" x14ac:dyDescent="0.35">
      <c r="A64" s="62"/>
      <c r="B64" s="62"/>
      <c r="C64" s="62"/>
      <c r="D64" s="62"/>
    </row>
    <row r="65" spans="1:4" x14ac:dyDescent="0.35">
      <c r="A65" s="62"/>
      <c r="B65" s="62"/>
      <c r="C65" s="62"/>
      <c r="D65" s="62"/>
    </row>
    <row r="66" spans="1:4" x14ac:dyDescent="0.35">
      <c r="A66" s="62"/>
      <c r="B66" s="62"/>
      <c r="C66" s="62"/>
      <c r="D66" s="62"/>
    </row>
    <row r="67" spans="1:4" x14ac:dyDescent="0.35">
      <c r="A67" s="62"/>
      <c r="B67" s="62"/>
      <c r="C67" s="62"/>
      <c r="D67" s="62"/>
    </row>
    <row r="68" spans="1:4" x14ac:dyDescent="0.35">
      <c r="A68" s="62"/>
      <c r="B68" s="62"/>
      <c r="C68" s="62"/>
      <c r="D68" s="62"/>
    </row>
    <row r="69" spans="1:4" x14ac:dyDescent="0.35">
      <c r="A69" s="62"/>
      <c r="B69" s="62"/>
      <c r="C69" s="62"/>
      <c r="D69" s="62"/>
    </row>
    <row r="70" spans="1:4" x14ac:dyDescent="0.35">
      <c r="A70" s="62"/>
      <c r="B70" s="62"/>
      <c r="C70" s="62"/>
      <c r="D70" s="62"/>
    </row>
    <row r="71" spans="1:4" x14ac:dyDescent="0.35">
      <c r="A71" s="62"/>
      <c r="B71" s="62"/>
      <c r="C71" s="62"/>
      <c r="D71" s="62"/>
    </row>
    <row r="72" spans="1:4" x14ac:dyDescent="0.35">
      <c r="A72" s="62"/>
      <c r="B72" s="62"/>
      <c r="C72" s="62"/>
      <c r="D72" s="62"/>
    </row>
    <row r="73" spans="1:4" x14ac:dyDescent="0.35">
      <c r="A73" s="62"/>
      <c r="B73" s="62"/>
      <c r="C73" s="62"/>
      <c r="D73" s="62"/>
    </row>
    <row r="74" spans="1:4" x14ac:dyDescent="0.35">
      <c r="A74" s="62"/>
      <c r="B74" s="62"/>
      <c r="C74" s="62"/>
      <c r="D74" s="62"/>
    </row>
    <row r="75" spans="1:4" x14ac:dyDescent="0.35">
      <c r="A75" s="62"/>
      <c r="B75" s="62"/>
      <c r="C75" s="62"/>
      <c r="D75" s="62"/>
    </row>
    <row r="76" spans="1:4" x14ac:dyDescent="0.35">
      <c r="A76" s="62"/>
      <c r="B76" s="62"/>
      <c r="C76" s="62"/>
      <c r="D76" s="62"/>
    </row>
    <row r="77" spans="1:4" x14ac:dyDescent="0.35">
      <c r="A77" s="62"/>
      <c r="B77" s="62"/>
      <c r="C77" s="62"/>
      <c r="D77" s="62"/>
    </row>
    <row r="78" spans="1:4" x14ac:dyDescent="0.35">
      <c r="A78" s="62"/>
      <c r="B78" s="62"/>
      <c r="C78" s="62"/>
      <c r="D78" s="62"/>
    </row>
  </sheetData>
  <pageMargins left="0.7" right="0.7" top="0.75" bottom="0.75" header="0.3" footer="0.3"/>
  <pageSetup orientation="portrait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43153-0DBB-4F4B-BEF5-385B3DDA6099}">
  <dimension ref="A1:K46"/>
  <sheetViews>
    <sheetView zoomScaleNormal="100" workbookViewId="0">
      <selection activeCell="A23" sqref="A23:D46"/>
    </sheetView>
  </sheetViews>
  <sheetFormatPr defaultRowHeight="14.5" x14ac:dyDescent="0.35"/>
  <cols>
    <col min="1" max="1" width="24.7265625" customWidth="1"/>
  </cols>
  <sheetData>
    <row r="1" spans="1:11" x14ac:dyDescent="0.35">
      <c r="A1" s="14" t="s">
        <v>0</v>
      </c>
      <c r="B1" s="15">
        <f>B9</f>
        <v>0.90183486238532107</v>
      </c>
      <c r="C1" s="1">
        <f t="shared" ref="C1:D1" si="0">C9</f>
        <v>0.10232558139534885</v>
      </c>
      <c r="D1" s="1" t="e">
        <f t="shared" si="0"/>
        <v>#DIV/0!</v>
      </c>
      <c r="E1" s="1">
        <v>0.86</v>
      </c>
      <c r="F1" s="1">
        <v>0.85</v>
      </c>
      <c r="G1" s="1">
        <f t="shared" ref="G1:J1" si="1">G9</f>
        <v>0.12258064516129033</v>
      </c>
      <c r="H1" s="1">
        <f t="shared" si="1"/>
        <v>0.5625</v>
      </c>
      <c r="I1" s="1">
        <f t="shared" si="1"/>
        <v>0.25778000000000001</v>
      </c>
      <c r="J1" s="1">
        <f t="shared" si="1"/>
        <v>3.0716000000000001</v>
      </c>
      <c r="K1" s="1"/>
    </row>
    <row r="2" spans="1:11" x14ac:dyDescent="0.35">
      <c r="A2" s="14" t="s">
        <v>1</v>
      </c>
      <c r="B2" s="16">
        <f t="shared" ref="B2:J2" si="2">1-B1</f>
        <v>9.8165137614678932E-2</v>
      </c>
      <c r="C2">
        <f t="shared" si="2"/>
        <v>0.89767441860465114</v>
      </c>
      <c r="D2" t="e">
        <f t="shared" si="2"/>
        <v>#DIV/0!</v>
      </c>
      <c r="E2">
        <f t="shared" si="2"/>
        <v>0.14000000000000001</v>
      </c>
      <c r="F2">
        <f t="shared" si="2"/>
        <v>0.15000000000000002</v>
      </c>
      <c r="G2">
        <f t="shared" si="2"/>
        <v>0.8774193548387097</v>
      </c>
      <c r="H2">
        <f t="shared" si="2"/>
        <v>0.4375</v>
      </c>
      <c r="I2">
        <f t="shared" si="2"/>
        <v>0.74221999999999999</v>
      </c>
      <c r="J2">
        <f t="shared" si="2"/>
        <v>-2.0716000000000001</v>
      </c>
    </row>
    <row r="3" spans="1:11" ht="16.5" x14ac:dyDescent="0.35">
      <c r="A3" s="17" t="s">
        <v>15</v>
      </c>
      <c r="B3" s="19">
        <v>0.95</v>
      </c>
      <c r="C3" s="3"/>
      <c r="E3">
        <v>0.99</v>
      </c>
      <c r="F3">
        <v>0.95</v>
      </c>
    </row>
    <row r="4" spans="1:11" ht="17" thickBot="1" x14ac:dyDescent="0.4">
      <c r="A4" s="17" t="s">
        <v>16</v>
      </c>
      <c r="B4" s="16"/>
      <c r="C4" s="16">
        <v>0.99</v>
      </c>
      <c r="G4">
        <v>0.99</v>
      </c>
      <c r="H4">
        <v>0.9</v>
      </c>
      <c r="I4">
        <v>0.99</v>
      </c>
      <c r="J4">
        <v>0.95</v>
      </c>
    </row>
    <row r="5" spans="1:11" ht="17" thickBot="1" x14ac:dyDescent="0.4">
      <c r="A5" s="24" t="s">
        <v>4</v>
      </c>
      <c r="B5" s="25">
        <v>98.3</v>
      </c>
      <c r="C5" s="25">
        <v>4.4000000000000004</v>
      </c>
      <c r="D5" s="25"/>
      <c r="E5" s="25"/>
      <c r="F5" s="25"/>
      <c r="G5" s="25">
        <v>26.6</v>
      </c>
      <c r="H5" s="25">
        <v>6.75</v>
      </c>
      <c r="I5" s="25">
        <v>3.8666999999999998</v>
      </c>
      <c r="J5" s="26">
        <v>153.58000000000001</v>
      </c>
    </row>
    <row r="6" spans="1:11" ht="16.5" x14ac:dyDescent="0.35">
      <c r="A6" s="17" t="s">
        <v>2</v>
      </c>
      <c r="B6" s="16"/>
      <c r="C6" s="16"/>
    </row>
    <row r="7" spans="1:11" ht="16.5" x14ac:dyDescent="0.35">
      <c r="A7" s="13" t="s">
        <v>14</v>
      </c>
      <c r="B7" s="12">
        <v>0.54</v>
      </c>
      <c r="C7" s="12">
        <v>18.7</v>
      </c>
      <c r="D7" s="12"/>
      <c r="E7" s="12"/>
      <c r="F7" s="12"/>
      <c r="G7" s="12">
        <v>7.5</v>
      </c>
      <c r="H7" s="12">
        <v>2.3788999999999998</v>
      </c>
      <c r="I7" s="12">
        <v>0.52869999999999995</v>
      </c>
      <c r="J7" s="12">
        <v>50.032699999999998</v>
      </c>
    </row>
    <row r="8" spans="1:11" x14ac:dyDescent="0.35">
      <c r="A8" s="13" t="s">
        <v>6</v>
      </c>
      <c r="B8" s="12">
        <v>109</v>
      </c>
      <c r="C8" s="12">
        <v>43</v>
      </c>
      <c r="D8" s="12"/>
      <c r="E8" s="12"/>
      <c r="F8" s="12"/>
      <c r="G8" s="12">
        <v>217</v>
      </c>
      <c r="H8" s="12">
        <v>12</v>
      </c>
      <c r="I8" s="12">
        <v>15</v>
      </c>
      <c r="J8" s="12">
        <v>50</v>
      </c>
    </row>
    <row r="9" spans="1:11" x14ac:dyDescent="0.35">
      <c r="A9" s="17" t="s">
        <v>5</v>
      </c>
      <c r="B9" s="18">
        <f>IF(B8&gt;B5,B5/B8,0)</f>
        <v>0.90183486238532107</v>
      </c>
      <c r="C9" s="4">
        <f t="shared" ref="C9:J9" si="3">C5/C8</f>
        <v>0.10232558139534885</v>
      </c>
      <c r="D9" s="4" t="e">
        <f t="shared" si="3"/>
        <v>#DIV/0!</v>
      </c>
      <c r="E9" s="4" t="e">
        <f t="shared" si="3"/>
        <v>#DIV/0!</v>
      </c>
      <c r="F9" s="4" t="e">
        <f t="shared" si="3"/>
        <v>#DIV/0!</v>
      </c>
      <c r="G9" s="4">
        <f t="shared" si="3"/>
        <v>0.12258064516129033</v>
      </c>
      <c r="H9" s="4">
        <f t="shared" si="3"/>
        <v>0.5625</v>
      </c>
      <c r="I9" s="4">
        <f t="shared" si="3"/>
        <v>0.25778000000000001</v>
      </c>
      <c r="J9" s="4">
        <f t="shared" si="3"/>
        <v>3.0716000000000001</v>
      </c>
      <c r="K9" s="1"/>
    </row>
    <row r="10" spans="1:11" x14ac:dyDescent="0.35">
      <c r="A10" s="17" t="s">
        <v>7</v>
      </c>
      <c r="B10" s="19">
        <f t="shared" ref="B10:J10" si="4">-_xlfn.NORM.S.INV((1-(B3))/2)</f>
        <v>1.9599639845400536</v>
      </c>
      <c r="C10" s="3">
        <f t="shared" si="4"/>
        <v>0</v>
      </c>
      <c r="D10" s="3">
        <f t="shared" si="4"/>
        <v>0</v>
      </c>
      <c r="E10" s="3">
        <f t="shared" si="4"/>
        <v>2.5758293035488999</v>
      </c>
      <c r="F10" s="3">
        <f t="shared" si="4"/>
        <v>1.9599639845400536</v>
      </c>
      <c r="G10" s="3">
        <f t="shared" si="4"/>
        <v>0</v>
      </c>
      <c r="H10" s="3">
        <f t="shared" si="4"/>
        <v>0</v>
      </c>
      <c r="I10" s="3">
        <f t="shared" si="4"/>
        <v>0</v>
      </c>
      <c r="J10" s="3">
        <f t="shared" si="4"/>
        <v>0</v>
      </c>
      <c r="K10" s="1"/>
    </row>
    <row r="11" spans="1:11" x14ac:dyDescent="0.35">
      <c r="A11" s="17" t="s">
        <v>8</v>
      </c>
      <c r="B11" s="19">
        <f t="shared" ref="B11:J11" si="5">-_xlfn.T.INV((1-B4)/2,B8-1)</f>
        <v>0</v>
      </c>
      <c r="C11" s="3">
        <f t="shared" si="5"/>
        <v>2.6980661862199842</v>
      </c>
      <c r="D11" s="3" t="e">
        <f t="shared" si="5"/>
        <v>#NUM!</v>
      </c>
      <c r="E11" s="3" t="e">
        <f t="shared" si="5"/>
        <v>#NUM!</v>
      </c>
      <c r="F11" s="3" t="e">
        <f t="shared" si="5"/>
        <v>#NUM!</v>
      </c>
      <c r="G11" s="3">
        <f t="shared" si="5"/>
        <v>2.5987816682219123</v>
      </c>
      <c r="H11" s="3">
        <f t="shared" si="5"/>
        <v>1.7958848187040437</v>
      </c>
      <c r="I11" s="3">
        <f t="shared" si="5"/>
        <v>2.9768427343708344</v>
      </c>
      <c r="J11" s="3">
        <f t="shared" si="5"/>
        <v>2.0095752371292388</v>
      </c>
      <c r="K11" s="1"/>
    </row>
    <row r="12" spans="1:11" ht="16.5" x14ac:dyDescent="0.35">
      <c r="A12" s="17" t="s">
        <v>13</v>
      </c>
      <c r="B12" s="20">
        <f t="shared" ref="B12:J12" si="6">IF(B7&gt;0,IF(B10&gt;B11,B10*(B7/SQRT(B8)),B11*(B7/SQRT(B8))),B10*SQRT(B9*(1-B9)/B8))</f>
        <v>0.10137447121387928</v>
      </c>
      <c r="C12" s="20">
        <f t="shared" si="6"/>
        <v>7.6941381143461358</v>
      </c>
      <c r="D12" s="20" t="e">
        <f t="shared" si="6"/>
        <v>#DIV/0!</v>
      </c>
      <c r="E12" s="20" t="e">
        <f t="shared" si="6"/>
        <v>#DIV/0!</v>
      </c>
      <c r="F12" s="20" t="e">
        <f t="shared" si="6"/>
        <v>#DIV/0!</v>
      </c>
      <c r="G12" s="20">
        <f t="shared" si="6"/>
        <v>1.3231259618128022</v>
      </c>
      <c r="H12" s="20">
        <f t="shared" si="6"/>
        <v>1.2332866843587551</v>
      </c>
      <c r="I12" s="20">
        <f t="shared" si="6"/>
        <v>0.40636806641656353</v>
      </c>
      <c r="J12" s="20">
        <f t="shared" si="6"/>
        <v>14.219136011961199</v>
      </c>
      <c r="K12" s="1"/>
    </row>
    <row r="13" spans="1:11" ht="16.5" x14ac:dyDescent="0.35">
      <c r="A13" s="17" t="s">
        <v>19</v>
      </c>
      <c r="B13" s="21">
        <f>IF(B3&gt;0,B10*SQRT(B1*B2/B8),B11*B7/SQRT(B8))</f>
        <v>5.5856920929211858E-2</v>
      </c>
      <c r="C13" s="9">
        <f t="shared" ref="C13:J13" si="7">IF(C3&gt;C4,C10*SQRT(C1*C2/C8),C11*C7/SQRT(C8))</f>
        <v>7.6941381143461367</v>
      </c>
      <c r="D13" s="9" t="e">
        <f t="shared" si="7"/>
        <v>#NUM!</v>
      </c>
      <c r="E13" s="9" t="e">
        <f t="shared" si="7"/>
        <v>#DIV/0!</v>
      </c>
      <c r="F13" s="9" t="e">
        <f t="shared" si="7"/>
        <v>#DIV/0!</v>
      </c>
      <c r="G13" s="9">
        <f t="shared" si="7"/>
        <v>1.3231259618128022</v>
      </c>
      <c r="H13" s="9">
        <f t="shared" si="7"/>
        <v>1.2332866843587551</v>
      </c>
      <c r="I13" s="9">
        <f t="shared" si="7"/>
        <v>0.40636806641656348</v>
      </c>
      <c r="J13" s="9">
        <f t="shared" si="7"/>
        <v>14.219136011961201</v>
      </c>
    </row>
    <row r="14" spans="1:11" x14ac:dyDescent="0.35">
      <c r="A14" s="17" t="s">
        <v>9</v>
      </c>
      <c r="B14" s="22">
        <f>IF(B3&gt;0,(B$9-B$13),0)</f>
        <v>0.84597794145610916</v>
      </c>
      <c r="C14" s="7">
        <f t="shared" ref="C14:J14" si="8">IF(C3&gt;0,(C9-C$13),0)</f>
        <v>0</v>
      </c>
      <c r="D14" s="7">
        <f t="shared" si="8"/>
        <v>0</v>
      </c>
      <c r="E14" s="7" t="e">
        <f t="shared" si="8"/>
        <v>#DIV/0!</v>
      </c>
      <c r="F14" s="7" t="e">
        <f t="shared" si="8"/>
        <v>#DIV/0!</v>
      </c>
      <c r="G14" s="7">
        <f t="shared" si="8"/>
        <v>0</v>
      </c>
      <c r="H14" s="7">
        <f t="shared" si="8"/>
        <v>0</v>
      </c>
      <c r="I14" s="7">
        <f t="shared" si="8"/>
        <v>0</v>
      </c>
      <c r="J14" s="7">
        <f t="shared" si="8"/>
        <v>0</v>
      </c>
    </row>
    <row r="15" spans="1:11" x14ac:dyDescent="0.35">
      <c r="A15" s="17" t="s">
        <v>10</v>
      </c>
      <c r="B15" s="22">
        <f>IF(B3&gt;0,(B$9+B$13),"0")</f>
        <v>0.95769178331453297</v>
      </c>
      <c r="C15" s="7" t="str">
        <f t="shared" ref="C15:J15" si="9">IF(C$3&gt;0,(C$9+C$13),"0")</f>
        <v>0</v>
      </c>
      <c r="D15" s="7" t="str">
        <f t="shared" si="9"/>
        <v>0</v>
      </c>
      <c r="E15" s="7" t="e">
        <f t="shared" si="9"/>
        <v>#DIV/0!</v>
      </c>
      <c r="F15" s="7" t="e">
        <f t="shared" si="9"/>
        <v>#DIV/0!</v>
      </c>
      <c r="G15" s="7" t="str">
        <f t="shared" si="9"/>
        <v>0</v>
      </c>
      <c r="H15" s="7" t="str">
        <f t="shared" si="9"/>
        <v>0</v>
      </c>
      <c r="I15" s="7" t="str">
        <f t="shared" si="9"/>
        <v>0</v>
      </c>
      <c r="J15" s="7" t="str">
        <f t="shared" si="9"/>
        <v>0</v>
      </c>
    </row>
    <row r="16" spans="1:11" ht="16.5" x14ac:dyDescent="0.35">
      <c r="A16" s="17" t="s">
        <v>57</v>
      </c>
      <c r="B16" s="41">
        <f>IF(B$7&gt;0,(B$5-B$12),0)</f>
        <v>98.198625528786124</v>
      </c>
      <c r="C16" s="41">
        <f t="shared" ref="C16:J16" si="10">IF(C$7&gt;0,(C$5-C$12),0)</f>
        <v>-3.2941381143461355</v>
      </c>
      <c r="D16" s="41">
        <f t="shared" si="10"/>
        <v>0</v>
      </c>
      <c r="E16" s="41">
        <f t="shared" si="10"/>
        <v>0</v>
      </c>
      <c r="F16" s="41">
        <f t="shared" si="10"/>
        <v>0</v>
      </c>
      <c r="G16" s="41">
        <f t="shared" si="10"/>
        <v>25.276874038187199</v>
      </c>
      <c r="H16" s="41">
        <f t="shared" si="10"/>
        <v>5.5167133156412449</v>
      </c>
      <c r="I16" s="41">
        <f t="shared" si="10"/>
        <v>3.4603319335834364</v>
      </c>
      <c r="J16" s="41">
        <f t="shared" si="10"/>
        <v>139.3608639880388</v>
      </c>
    </row>
    <row r="17" spans="1:10" ht="16.5" x14ac:dyDescent="0.35">
      <c r="A17" s="17" t="s">
        <v>58</v>
      </c>
      <c r="B17" s="41">
        <f>IF(B$7&gt;0,(B$5+B$12),0)</f>
        <v>98.40137447121387</v>
      </c>
      <c r="C17" s="41">
        <f t="shared" ref="C17:J17" si="11">IF(C$7&gt;0,(C$5+C$12),0)</f>
        <v>12.094138114346137</v>
      </c>
      <c r="D17" s="41">
        <f t="shared" si="11"/>
        <v>0</v>
      </c>
      <c r="E17" s="41">
        <f t="shared" si="11"/>
        <v>0</v>
      </c>
      <c r="F17" s="41">
        <f t="shared" si="11"/>
        <v>0</v>
      </c>
      <c r="G17" s="41">
        <f t="shared" si="11"/>
        <v>27.923125961812804</v>
      </c>
      <c r="H17" s="41">
        <f t="shared" si="11"/>
        <v>7.9832866843587551</v>
      </c>
      <c r="I17" s="41">
        <f t="shared" si="11"/>
        <v>4.2730680664165632</v>
      </c>
      <c r="J17" s="41">
        <f t="shared" si="11"/>
        <v>167.79913601196122</v>
      </c>
    </row>
    <row r="18" spans="1:10" ht="16.5" x14ac:dyDescent="0.35">
      <c r="A18" s="17" t="s">
        <v>11</v>
      </c>
      <c r="B18" s="23">
        <f t="shared" ref="B18:J18" si="12">(B10^2*B1*(1-B1))/B20^2</f>
        <v>53.137425329758216</v>
      </c>
      <c r="C18" s="8">
        <f t="shared" si="12"/>
        <v>0</v>
      </c>
      <c r="D18" s="8" t="e">
        <f t="shared" si="12"/>
        <v>#DIV/0!</v>
      </c>
      <c r="E18" s="8">
        <f t="shared" si="12"/>
        <v>1997.1038769073848</v>
      </c>
      <c r="F18" s="8">
        <f t="shared" si="12"/>
        <v>195.91439985540029</v>
      </c>
      <c r="G18" s="8">
        <f t="shared" si="12"/>
        <v>0</v>
      </c>
      <c r="H18" s="8">
        <f t="shared" si="12"/>
        <v>0</v>
      </c>
      <c r="I18" s="8">
        <f t="shared" si="12"/>
        <v>0</v>
      </c>
      <c r="J18" s="8">
        <f t="shared" si="12"/>
        <v>0</v>
      </c>
    </row>
    <row r="19" spans="1:10" ht="16.5" x14ac:dyDescent="0.35">
      <c r="A19" s="17" t="s">
        <v>12</v>
      </c>
      <c r="B19" s="23">
        <f t="shared" ref="B19:J19" si="13">(B10^2*0.25)/B20^2</f>
        <v>150.05698518336419</v>
      </c>
      <c r="C19" s="8">
        <f t="shared" si="13"/>
        <v>0</v>
      </c>
      <c r="D19" s="8">
        <f t="shared" si="13"/>
        <v>0</v>
      </c>
      <c r="E19" s="8">
        <f t="shared" si="13"/>
        <v>4146.810375638257</v>
      </c>
      <c r="F19" s="8">
        <f t="shared" si="13"/>
        <v>384.14588206941227</v>
      </c>
      <c r="G19" s="8">
        <f t="shared" si="13"/>
        <v>0</v>
      </c>
      <c r="H19" s="8">
        <f t="shared" si="13"/>
        <v>0</v>
      </c>
      <c r="I19" s="8">
        <f t="shared" si="13"/>
        <v>0</v>
      </c>
      <c r="J19" s="8">
        <f t="shared" si="13"/>
        <v>0</v>
      </c>
    </row>
    <row r="20" spans="1:10" ht="16.5" x14ac:dyDescent="0.35">
      <c r="A20" s="17" t="s">
        <v>3</v>
      </c>
      <c r="B20" s="16">
        <v>0.08</v>
      </c>
      <c r="C20">
        <v>0.05</v>
      </c>
      <c r="D20">
        <v>0.05</v>
      </c>
      <c r="E20">
        <v>0.02</v>
      </c>
      <c r="F20">
        <v>0.05</v>
      </c>
      <c r="G20">
        <v>0.05</v>
      </c>
      <c r="H20">
        <v>0.05</v>
      </c>
      <c r="I20">
        <v>0.05</v>
      </c>
      <c r="J20">
        <v>0.05</v>
      </c>
    </row>
    <row r="21" spans="1:10" x14ac:dyDescent="0.35">
      <c r="A21" s="16"/>
      <c r="B21" s="16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</row>
    <row r="23" spans="1:10" x14ac:dyDescent="0.35">
      <c r="B23">
        <f>COUNT(B27:B100)</f>
        <v>20</v>
      </c>
      <c r="C23">
        <f>COUNT(C27:C100)</f>
        <v>20</v>
      </c>
      <c r="D23">
        <f>COUNTIF(D27:D46,1)</f>
        <v>11</v>
      </c>
    </row>
    <row r="24" spans="1:10" x14ac:dyDescent="0.35">
      <c r="B24">
        <f>AVERAGE(B27:B100)</f>
        <v>181.5</v>
      </c>
      <c r="C24">
        <f>AVERAGE(C27:C100)</f>
        <v>180.9</v>
      </c>
    </row>
    <row r="25" spans="1:10" x14ac:dyDescent="0.35">
      <c r="B25">
        <f>_xlfn.STDEV.S(B27:B100)</f>
        <v>5.6707931311979722</v>
      </c>
      <c r="C25">
        <f>_xlfn.STDEV.S(C27:C100)</f>
        <v>5.8750139977436842</v>
      </c>
    </row>
    <row r="26" spans="1:10" x14ac:dyDescent="0.35">
      <c r="A26" t="s">
        <v>61</v>
      </c>
      <c r="B26" t="s">
        <v>62</v>
      </c>
      <c r="C26" t="s">
        <v>63</v>
      </c>
    </row>
    <row r="27" spans="1:10" x14ac:dyDescent="0.35">
      <c r="A27" t="s">
        <v>64</v>
      </c>
      <c r="B27">
        <v>188</v>
      </c>
      <c r="C27">
        <v>188</v>
      </c>
      <c r="D27">
        <f>IF(B27&gt;C27,1,0)</f>
        <v>0</v>
      </c>
    </row>
    <row r="28" spans="1:10" x14ac:dyDescent="0.35">
      <c r="A28" t="s">
        <v>65</v>
      </c>
      <c r="B28">
        <v>185</v>
      </c>
      <c r="C28">
        <v>177</v>
      </c>
      <c r="D28">
        <f t="shared" ref="D28:D46" si="14">IF(B28&gt;C28,1,0)</f>
        <v>1</v>
      </c>
    </row>
    <row r="29" spans="1:10" x14ac:dyDescent="0.35">
      <c r="A29" t="s">
        <v>66</v>
      </c>
      <c r="B29">
        <v>183</v>
      </c>
      <c r="C29">
        <v>175</v>
      </c>
      <c r="D29">
        <f t="shared" si="14"/>
        <v>1</v>
      </c>
    </row>
    <row r="30" spans="1:10" x14ac:dyDescent="0.35">
      <c r="A30" t="s">
        <v>67</v>
      </c>
      <c r="B30">
        <v>185</v>
      </c>
      <c r="C30">
        <v>171</v>
      </c>
      <c r="D30">
        <f t="shared" si="14"/>
        <v>1</v>
      </c>
    </row>
    <row r="31" spans="1:10" x14ac:dyDescent="0.35">
      <c r="A31" t="s">
        <v>68</v>
      </c>
      <c r="B31">
        <v>180</v>
      </c>
      <c r="C31">
        <v>180</v>
      </c>
      <c r="D31">
        <f t="shared" si="14"/>
        <v>0</v>
      </c>
    </row>
    <row r="32" spans="1:10" x14ac:dyDescent="0.35">
      <c r="A32" t="s">
        <v>69</v>
      </c>
      <c r="B32">
        <v>173</v>
      </c>
      <c r="C32">
        <v>185</v>
      </c>
      <c r="D32">
        <f t="shared" si="14"/>
        <v>0</v>
      </c>
    </row>
    <row r="33" spans="1:4" x14ac:dyDescent="0.35">
      <c r="A33" t="s">
        <v>70</v>
      </c>
      <c r="B33">
        <v>178</v>
      </c>
      <c r="C33">
        <v>175</v>
      </c>
      <c r="D33">
        <f t="shared" si="14"/>
        <v>1</v>
      </c>
    </row>
    <row r="34" spans="1:4" x14ac:dyDescent="0.35">
      <c r="A34" t="s">
        <v>71</v>
      </c>
      <c r="B34">
        <v>183</v>
      </c>
      <c r="C34">
        <v>187</v>
      </c>
      <c r="D34">
        <f t="shared" si="14"/>
        <v>0</v>
      </c>
    </row>
    <row r="35" spans="1:4" x14ac:dyDescent="0.35">
      <c r="A35" t="s">
        <v>72</v>
      </c>
      <c r="B35">
        <v>179</v>
      </c>
      <c r="C35">
        <v>178</v>
      </c>
      <c r="D35">
        <f t="shared" si="14"/>
        <v>1</v>
      </c>
    </row>
    <row r="36" spans="1:4" x14ac:dyDescent="0.35">
      <c r="A36" t="s">
        <v>73</v>
      </c>
      <c r="B36">
        <v>188</v>
      </c>
      <c r="C36">
        <v>182</v>
      </c>
      <c r="D36">
        <f t="shared" si="14"/>
        <v>1</v>
      </c>
    </row>
    <row r="37" spans="1:4" x14ac:dyDescent="0.35">
      <c r="A37" t="s">
        <v>74</v>
      </c>
      <c r="B37">
        <v>182</v>
      </c>
      <c r="C37">
        <v>180</v>
      </c>
      <c r="D37">
        <f t="shared" si="14"/>
        <v>1</v>
      </c>
    </row>
    <row r="38" spans="1:4" x14ac:dyDescent="0.35">
      <c r="A38" t="s">
        <v>75</v>
      </c>
      <c r="B38">
        <v>178</v>
      </c>
      <c r="C38">
        <v>196</v>
      </c>
      <c r="D38">
        <f t="shared" si="14"/>
        <v>0</v>
      </c>
    </row>
    <row r="39" spans="1:4" x14ac:dyDescent="0.35">
      <c r="A39" t="s">
        <v>76</v>
      </c>
      <c r="B39">
        <v>180</v>
      </c>
      <c r="C39">
        <v>182</v>
      </c>
      <c r="D39">
        <f t="shared" si="14"/>
        <v>0</v>
      </c>
    </row>
    <row r="40" spans="1:4" x14ac:dyDescent="0.35">
      <c r="A40" t="s">
        <v>77</v>
      </c>
      <c r="B40">
        <v>177</v>
      </c>
      <c r="C40">
        <v>183</v>
      </c>
      <c r="D40">
        <f t="shared" si="14"/>
        <v>0</v>
      </c>
    </row>
    <row r="41" spans="1:4" x14ac:dyDescent="0.35">
      <c r="A41" t="s">
        <v>78</v>
      </c>
      <c r="B41">
        <v>178</v>
      </c>
      <c r="C41">
        <v>180</v>
      </c>
      <c r="D41">
        <f t="shared" si="14"/>
        <v>0</v>
      </c>
    </row>
    <row r="42" spans="1:4" x14ac:dyDescent="0.35">
      <c r="A42" t="s">
        <v>79</v>
      </c>
      <c r="B42">
        <v>188</v>
      </c>
      <c r="C42">
        <v>173</v>
      </c>
      <c r="D42">
        <f t="shared" si="14"/>
        <v>1</v>
      </c>
    </row>
    <row r="43" spans="1:4" x14ac:dyDescent="0.35">
      <c r="A43" t="s">
        <v>80</v>
      </c>
      <c r="B43">
        <v>182</v>
      </c>
      <c r="C43">
        <v>178</v>
      </c>
      <c r="D43">
        <f t="shared" si="14"/>
        <v>1</v>
      </c>
    </row>
    <row r="44" spans="1:4" x14ac:dyDescent="0.35">
      <c r="A44" t="s">
        <v>81</v>
      </c>
      <c r="B44">
        <v>168</v>
      </c>
      <c r="C44">
        <v>180</v>
      </c>
      <c r="D44">
        <f t="shared" si="14"/>
        <v>0</v>
      </c>
    </row>
    <row r="45" spans="1:4" x14ac:dyDescent="0.35">
      <c r="A45" t="s">
        <v>82</v>
      </c>
      <c r="B45">
        <v>182</v>
      </c>
      <c r="C45">
        <v>180</v>
      </c>
      <c r="D45">
        <f t="shared" si="14"/>
        <v>1</v>
      </c>
    </row>
    <row r="46" spans="1:4" x14ac:dyDescent="0.35">
      <c r="A46" t="s">
        <v>83</v>
      </c>
      <c r="B46">
        <v>193</v>
      </c>
      <c r="C46">
        <v>188</v>
      </c>
      <c r="D46">
        <f t="shared" si="14"/>
        <v>1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5EA4F-CCDD-4471-9346-DBA8D5E380CE}">
  <dimension ref="A1:U75"/>
  <sheetViews>
    <sheetView workbookViewId="0">
      <selection activeCell="D14" sqref="D14"/>
    </sheetView>
  </sheetViews>
  <sheetFormatPr defaultRowHeight="14.5" x14ac:dyDescent="0.35"/>
  <cols>
    <col min="1" max="1" width="21.81640625" style="45" customWidth="1"/>
    <col min="2" max="2" width="28.7265625" customWidth="1"/>
    <col min="3" max="3" width="13.7265625" bestFit="1" customWidth="1"/>
    <col min="4" max="4" width="13.7265625" customWidth="1"/>
    <col min="5" max="5" width="15.6328125" bestFit="1" customWidth="1"/>
    <col min="6" max="6" width="13.453125" customWidth="1"/>
    <col min="7" max="7" width="18.54296875" bestFit="1" customWidth="1"/>
    <col min="8" max="8" width="18.54296875" style="28" customWidth="1"/>
    <col min="9" max="9" width="18.54296875" bestFit="1" customWidth="1"/>
    <col min="10" max="10" width="20.90625" customWidth="1"/>
    <col min="11" max="11" width="11.453125" customWidth="1"/>
    <col min="13" max="13" width="23.453125" bestFit="1" customWidth="1"/>
    <col min="17" max="17" width="23.453125" bestFit="1" customWidth="1"/>
    <col min="20" max="20" width="25.26953125" bestFit="1" customWidth="1"/>
  </cols>
  <sheetData>
    <row r="1" spans="1:21" ht="16.5" x14ac:dyDescent="0.45">
      <c r="A1" s="45" t="s">
        <v>87</v>
      </c>
      <c r="B1">
        <v>0.1</v>
      </c>
      <c r="C1">
        <v>0.2</v>
      </c>
      <c r="D1">
        <v>0.2</v>
      </c>
      <c r="I1" t="s">
        <v>107</v>
      </c>
      <c r="J1" s="45" t="s">
        <v>108</v>
      </c>
      <c r="K1" t="s">
        <v>108</v>
      </c>
      <c r="L1">
        <v>0</v>
      </c>
      <c r="R1" t="s">
        <v>123</v>
      </c>
      <c r="S1">
        <v>-0.47299999999999998</v>
      </c>
      <c r="U1" t="s">
        <v>141</v>
      </c>
    </row>
    <row r="2" spans="1:21" ht="16.5" x14ac:dyDescent="0.45">
      <c r="A2" s="45" t="s">
        <v>1</v>
      </c>
      <c r="B2">
        <f t="shared" ref="B2:G2" si="0">1-B1</f>
        <v>0.9</v>
      </c>
      <c r="C2">
        <f t="shared" si="0"/>
        <v>0.8</v>
      </c>
      <c r="D2">
        <f t="shared" si="0"/>
        <v>0.8</v>
      </c>
      <c r="E2">
        <f t="shared" si="0"/>
        <v>1</v>
      </c>
      <c r="F2">
        <f t="shared" si="0"/>
        <v>1</v>
      </c>
      <c r="G2">
        <f t="shared" si="0"/>
        <v>1</v>
      </c>
      <c r="I2" t="s">
        <v>109</v>
      </c>
      <c r="J2" s="90" t="s">
        <v>131</v>
      </c>
      <c r="K2" s="54" t="s">
        <v>131</v>
      </c>
      <c r="L2">
        <v>0</v>
      </c>
      <c r="M2" s="54"/>
      <c r="R2" s="2" t="s">
        <v>138</v>
      </c>
      <c r="S2" s="75">
        <v>-7.25</v>
      </c>
      <c r="U2" t="s">
        <v>142</v>
      </c>
    </row>
    <row r="3" spans="1:21" x14ac:dyDescent="0.35">
      <c r="A3" s="45" t="s">
        <v>88</v>
      </c>
      <c r="B3" s="2">
        <f t="shared" ref="B3:G3" si="1">B8/B10</f>
        <v>0.11650485436893204</v>
      </c>
      <c r="C3" s="2">
        <f t="shared" si="1"/>
        <v>0.25961538461538464</v>
      </c>
      <c r="D3" s="2">
        <f t="shared" si="1"/>
        <v>0.18585337915234823</v>
      </c>
      <c r="E3" s="2">
        <f t="shared" si="1"/>
        <v>3.977777777777778E-2</v>
      </c>
      <c r="F3" s="2">
        <f t="shared" si="1"/>
        <v>1.4124000000000001</v>
      </c>
      <c r="G3" s="2">
        <f t="shared" si="1"/>
        <v>127.5</v>
      </c>
      <c r="H3" s="29"/>
      <c r="I3" s="45" t="s">
        <v>6</v>
      </c>
      <c r="J3" s="45">
        <f>COUNT(L23:L221)</f>
        <v>30</v>
      </c>
      <c r="K3">
        <f>COUNT(M23:M221)</f>
        <v>0</v>
      </c>
      <c r="R3" s="70" t="s">
        <v>134</v>
      </c>
      <c r="S3" s="70">
        <v>1.986</v>
      </c>
      <c r="U3" t="s">
        <v>143</v>
      </c>
    </row>
    <row r="4" spans="1:21" x14ac:dyDescent="0.35">
      <c r="A4" s="45" t="s">
        <v>89</v>
      </c>
      <c r="B4" s="2">
        <f t="shared" ref="B4:G4" si="2">1-B3</f>
        <v>0.88349514563106801</v>
      </c>
      <c r="C4" s="2">
        <f t="shared" si="2"/>
        <v>0.74038461538461542</v>
      </c>
      <c r="D4" s="2">
        <f t="shared" si="2"/>
        <v>0.81414662084765177</v>
      </c>
      <c r="E4" s="2">
        <f t="shared" si="2"/>
        <v>0.9602222222222222</v>
      </c>
      <c r="F4" s="2">
        <f t="shared" si="2"/>
        <v>-0.4124000000000001</v>
      </c>
      <c r="G4" s="2">
        <f t="shared" si="2"/>
        <v>-126.5</v>
      </c>
      <c r="H4" s="29"/>
      <c r="I4" s="46" t="s">
        <v>110</v>
      </c>
      <c r="J4" s="45">
        <v>0.1</v>
      </c>
      <c r="K4">
        <v>0.1</v>
      </c>
      <c r="L4">
        <v>0.8</v>
      </c>
      <c r="R4" s="71" t="s">
        <v>135</v>
      </c>
      <c r="S4" s="71">
        <v>93</v>
      </c>
      <c r="U4" t="s">
        <v>144</v>
      </c>
    </row>
    <row r="5" spans="1:21" ht="16.5" x14ac:dyDescent="0.45">
      <c r="A5" s="46" t="s">
        <v>90</v>
      </c>
      <c r="B5" s="48">
        <v>0.05</v>
      </c>
      <c r="C5" s="48">
        <v>0.01</v>
      </c>
      <c r="D5" s="48">
        <v>0.01</v>
      </c>
      <c r="E5" s="48">
        <v>0.05</v>
      </c>
      <c r="F5" s="48">
        <v>0.01</v>
      </c>
      <c r="G5" s="48">
        <v>0.05</v>
      </c>
      <c r="I5" s="46" t="s">
        <v>111</v>
      </c>
      <c r="J5" s="91">
        <f>IF(J4&lt;0.5,-_xlfn.T.INV((J4),J3-1),-_xlfn.T.INV((1-J4)/2,J3-1))</f>
        <v>1.3114336473015527</v>
      </c>
      <c r="K5" s="1" t="e">
        <f>IF(K4&lt;0.5,-_xlfn.T.INV((K4),K3-1),-_xlfn.T.INV((1-K4)/2,K3-1))</f>
        <v>#NUM!</v>
      </c>
      <c r="L5">
        <f>-_xlfn.T.INV(J4,J3-1)</f>
        <v>1.3114336473015527</v>
      </c>
      <c r="M5" s="1"/>
      <c r="R5" s="71" t="s">
        <v>136</v>
      </c>
      <c r="S5" s="76">
        <v>1E-4</v>
      </c>
      <c r="U5" t="s">
        <v>146</v>
      </c>
    </row>
    <row r="6" spans="1:21" ht="16.5" x14ac:dyDescent="0.45">
      <c r="A6" s="45" t="s">
        <v>96</v>
      </c>
      <c r="E6">
        <v>0.56000000000000005</v>
      </c>
      <c r="F6" s="2">
        <f>C23</f>
        <v>21.446554359093469</v>
      </c>
      <c r="G6">
        <f>G22</f>
        <v>191.58722991542695</v>
      </c>
      <c r="I6" s="45" t="s">
        <v>112</v>
      </c>
      <c r="J6" s="45">
        <f>J3-1</f>
        <v>29</v>
      </c>
      <c r="K6">
        <f>K3-1</f>
        <v>-1</v>
      </c>
      <c r="L6" s="58"/>
      <c r="R6" s="71" t="s">
        <v>137</v>
      </c>
      <c r="S6" s="71">
        <v>0.05</v>
      </c>
      <c r="U6" t="s">
        <v>145</v>
      </c>
    </row>
    <row r="7" spans="1:21" ht="16.5" x14ac:dyDescent="0.45">
      <c r="A7" s="45" t="s">
        <v>97</v>
      </c>
      <c r="I7" s="45" t="s">
        <v>113</v>
      </c>
      <c r="J7" s="45">
        <f>AVERAGE(L23:L100)</f>
        <v>1.8276666666666663</v>
      </c>
      <c r="K7" t="e">
        <f>AVERAGE(M23:M100)</f>
        <v>#DIV/0!</v>
      </c>
      <c r="L7" s="1"/>
      <c r="N7" s="28"/>
      <c r="R7" s="71" t="str">
        <f>IF(S5&lt;S6,"P&lt;a,Null must go, sufficient","P&gt;a, fail to reject,not sufficient")</f>
        <v>P&lt;a,Null must go, sufficient</v>
      </c>
      <c r="S7" s="71"/>
    </row>
    <row r="8" spans="1:21" ht="16.5" x14ac:dyDescent="0.45">
      <c r="A8" s="46" t="s">
        <v>98</v>
      </c>
      <c r="B8" s="54">
        <v>36</v>
      </c>
      <c r="C8" s="54">
        <v>54</v>
      </c>
      <c r="D8" s="54">
        <v>1298</v>
      </c>
      <c r="E8" s="54">
        <v>3.58</v>
      </c>
      <c r="F8" s="77">
        <f>C24</f>
        <v>70.62</v>
      </c>
      <c r="G8" s="54">
        <f>G23</f>
        <v>765</v>
      </c>
      <c r="I8" s="45" t="s">
        <v>114</v>
      </c>
      <c r="J8" s="91">
        <f>_xlfn.STDEV.S(L23:L221)</f>
        <v>3.1314805172450075</v>
      </c>
      <c r="K8" s="1" t="e">
        <f>_xlfn.STDEV.S(M23:M221)</f>
        <v>#DIV/0!</v>
      </c>
      <c r="M8" s="1"/>
      <c r="N8" s="28"/>
    </row>
    <row r="9" spans="1:21" ht="16.5" x14ac:dyDescent="0.45">
      <c r="A9" s="45" t="s">
        <v>99</v>
      </c>
      <c r="B9" s="54"/>
      <c r="C9" s="54"/>
      <c r="D9" s="54"/>
      <c r="E9" s="54">
        <v>3.75</v>
      </c>
      <c r="F9" s="54">
        <v>74</v>
      </c>
      <c r="G9" s="54">
        <v>1000</v>
      </c>
      <c r="I9" s="59" t="s">
        <v>115</v>
      </c>
      <c r="J9" s="92">
        <f>(J7-L1)/(J8/SQRT(J3))</f>
        <v>3.1967443368107209</v>
      </c>
      <c r="K9" s="37" t="e">
        <f>(K7-M1)/(K8/SQRT(K3))</f>
        <v>#DIV/0!</v>
      </c>
      <c r="M9" s="37"/>
      <c r="N9" s="28"/>
    </row>
    <row r="10" spans="1:21" x14ac:dyDescent="0.35">
      <c r="A10" s="45" t="s">
        <v>91</v>
      </c>
      <c r="B10" s="51">
        <v>309</v>
      </c>
      <c r="C10" s="51">
        <v>208</v>
      </c>
      <c r="D10" s="51">
        <v>6984</v>
      </c>
      <c r="E10" s="51">
        <v>90</v>
      </c>
      <c r="F10" s="51">
        <f>C22</f>
        <v>50</v>
      </c>
      <c r="G10" s="51">
        <f>G24</f>
        <v>6</v>
      </c>
      <c r="I10" s="45" t="s">
        <v>116</v>
      </c>
      <c r="J10" s="45" t="str">
        <f>IF(J11&lt;J9,"sts&lt;t: reject the null", "sts&gt;t: do not reject the null")</f>
        <v>sts&lt;t: reject the null</v>
      </c>
      <c r="K10" t="e">
        <f>IF(K11&lt;K9,"sts&lt;t: reject the null", "sts&gt;t: do not reject the null")</f>
        <v>#NUM!</v>
      </c>
      <c r="N10" s="57"/>
    </row>
    <row r="11" spans="1:21" ht="16.5" x14ac:dyDescent="0.45">
      <c r="A11" s="45" t="s">
        <v>102</v>
      </c>
      <c r="B11" s="55">
        <f>_xlfn.NORM.DIST(B8,0,1,TRUE)</f>
        <v>1</v>
      </c>
      <c r="C11" s="55">
        <f t="shared" ref="C11" si="3">_xlfn.NORM.DIST(C8,0,1,TRUE)</f>
        <v>1</v>
      </c>
      <c r="D11" s="55">
        <f>_xlfn.NORM.DIST(D8,0,1,TRUE)</f>
        <v>1</v>
      </c>
      <c r="E11" s="55">
        <f>_xlfn.NORM.DIST(E8,0,1,TRUE)</f>
        <v>0.99982820289625407</v>
      </c>
      <c r="F11" s="55">
        <f>_xlfn.NORM.DIST(F8,0,1,TRUE)</f>
        <v>1</v>
      </c>
      <c r="G11" s="55">
        <f>_xlfn.NORM.DIST(G8,0,1,TRUE)</f>
        <v>1</v>
      </c>
      <c r="H11" s="31"/>
      <c r="I11" s="45" t="s">
        <v>117</v>
      </c>
      <c r="J11" s="93">
        <f>IF(J4&lt;0.5,_xlfn.T.INV.2T(J4,J3-1),_xlfn.T.INV.2T((1-J4)/2,J3-1))</f>
        <v>1.6991270265334986</v>
      </c>
      <c r="K11" s="60" t="e">
        <f>IF(K4&lt;0.5,_xlfn.T.INV.2T(K4,K3-1),_xlfn.T.INV.2T((1-K4)/2,K3-1))</f>
        <v>#NUM!</v>
      </c>
      <c r="L11" s="2">
        <f>IF(L4&lt;0.5,_xlfn.T.INV.2T(L4,J3-1),_xlfn.T.INV.2T((1-L4)/2,J3-1))</f>
        <v>1.6991270265334986</v>
      </c>
      <c r="M11" s="60"/>
      <c r="N11" s="28"/>
    </row>
    <row r="12" spans="1:21" ht="16.5" x14ac:dyDescent="0.45">
      <c r="A12" s="45" t="s">
        <v>103</v>
      </c>
      <c r="B12" s="55">
        <f>1-_xlfn.NORM.DIST(B8,0,1,TRUE)</f>
        <v>0</v>
      </c>
      <c r="C12" s="55">
        <f t="shared" ref="C12" si="4">1-_xlfn.NORM.DIST(C8,0,1,TRUE)</f>
        <v>0</v>
      </c>
      <c r="D12" s="55">
        <f>1-_xlfn.NORM.DIST(D8,0,1,TRUE)</f>
        <v>0</v>
      </c>
      <c r="E12" s="55">
        <f>1-_xlfn.NORM.DIST(E8,0,1,TRUE)</f>
        <v>1.7179710374592982E-4</v>
      </c>
      <c r="F12" s="55">
        <f>1-_xlfn.NORM.DIST(F8,0,1,TRUE)</f>
        <v>0</v>
      </c>
      <c r="G12" s="55">
        <f>1-_xlfn.NORM.DIST(G8,0,1,TRUE)</f>
        <v>0</v>
      </c>
      <c r="H12" s="31"/>
      <c r="I12" s="45" t="s">
        <v>118</v>
      </c>
      <c r="J12" s="7">
        <f>IF(J9&gt;0,1-_xlfn.T.DIST(J9,J3-1,1),_xlfn.T.DIST(J9,J3-1,1))</f>
        <v>1.6730751229897534E-3</v>
      </c>
      <c r="K12" s="61" t="e">
        <f>IF(K9&gt;0,1-_xlfn.T.DIST(K9,K3-1,1),_xlfn.T.DIST(K9,K3-1,1))</f>
        <v>#DIV/0!</v>
      </c>
      <c r="L12" s="2">
        <f>IF(J9&gt;0,1-_xlfn.T.DIST(J9,J3-1,1),_xlfn.T.DIST(J9,J3-1,1))</f>
        <v>1.6730751229897534E-3</v>
      </c>
      <c r="M12" s="61"/>
      <c r="N12" s="31"/>
    </row>
    <row r="13" spans="1:21" ht="16.5" x14ac:dyDescent="0.45">
      <c r="A13" s="45" t="s">
        <v>104</v>
      </c>
      <c r="B13" s="1">
        <f>(B3-B1)/(SQRT((B1*B2)/B10))</f>
        <v>0.96709621078057606</v>
      </c>
      <c r="C13" s="3">
        <f>(C3-C1)/SQRT((C1*C2)/C10)</f>
        <v>2.1494632603727628</v>
      </c>
      <c r="D13" s="3">
        <f>(D3-D1)/(SQRT((D1*D2)/D10))</f>
        <v>-2.9555944196430226</v>
      </c>
      <c r="E13" s="3" t="e">
        <f>(E3-E1)/(SQRT((E1*E2)/E10))</f>
        <v>#DIV/0!</v>
      </c>
      <c r="F13" s="3" t="e">
        <f>(F3-F1)/(SQRT((F1*F2)/F10))</f>
        <v>#DIV/0!</v>
      </c>
      <c r="G13" s="3" t="e">
        <f>(G3-G1)/(SQRT((G1*G2)/G10))</f>
        <v>#DIV/0!</v>
      </c>
      <c r="H13" s="78"/>
      <c r="I13" s="45" t="s">
        <v>106</v>
      </c>
      <c r="J13" s="91">
        <f>IF(J9&gt;0,(1-_xlfn.T.DIST(J9,J3-1,1))*2,(_xlfn.T.DIST(J9,J3-1,1))*2)</f>
        <v>3.3461502459795067E-3</v>
      </c>
      <c r="K13" s="1" t="e">
        <f>IF(K9&gt;0,(1-_xlfn.T.DIST(K9,K3-1,1))*2,(_xlfn.T.DIST(K9,K3-1,1))*2)</f>
        <v>#DIV/0!</v>
      </c>
      <c r="L13" s="34">
        <f>IF(J9&gt;0,1-_xlfn.T.DIST(J9,J3-1,1)*2,_xlfn.T.DIST(J9,J3-1,1)*2)</f>
        <v>-0.99665384975402049</v>
      </c>
      <c r="M13" s="1"/>
    </row>
    <row r="14" spans="1:21" ht="16.5" x14ac:dyDescent="0.45">
      <c r="A14" s="45" t="s">
        <v>100</v>
      </c>
      <c r="B14" s="56" t="e">
        <f>((B8-B9)/(B6/SQRT(B10)))</f>
        <v>#DIV/0!</v>
      </c>
      <c r="C14" s="3" t="e">
        <f t="shared" ref="C14" si="5">((C8-C9)/(C6/SQRT(C10)))</f>
        <v>#DIV/0!</v>
      </c>
      <c r="D14" s="56" t="e">
        <f>((D8-D9)/(D6/SQRT(D10)))</f>
        <v>#DIV/0!</v>
      </c>
      <c r="E14" s="56">
        <f>((E8-E9)/(E6/SQRT(E10)))</f>
        <v>-2.8799314405104868</v>
      </c>
      <c r="F14" s="56">
        <f>((F8-F9)/(F6/SQRT(F10)))</f>
        <v>-1.1144078812814724</v>
      </c>
      <c r="G14" s="56">
        <f>((G8-G9)/(G6/SQRT(G10)))</f>
        <v>-3.0045326601786</v>
      </c>
      <c r="H14" s="79"/>
      <c r="I14" s="45" t="s">
        <v>93</v>
      </c>
      <c r="J14" s="59" t="str">
        <f>IF(J12&gt;J4,"P&gt;a,Fail to reject H0,not sufficient","P&lt;a, reject H0, is sufficient")</f>
        <v>P&lt;a, reject H0, is sufficient</v>
      </c>
      <c r="K14" s="47" t="e">
        <f>IF(K12&gt;K4,"P&gt;a,Fail to reject H0,not sufficient","P&lt;a, reject H0, is sufficient")</f>
        <v>#DIV/0!</v>
      </c>
      <c r="L14" s="45"/>
      <c r="M14" s="47"/>
    </row>
    <row r="15" spans="1:21" ht="16.5" x14ac:dyDescent="0.45">
      <c r="A15" s="45" t="s">
        <v>101</v>
      </c>
      <c r="B15" s="2" t="e">
        <f>(B8-B9)/(B7/SQRT(B10))</f>
        <v>#DIV/0!</v>
      </c>
      <c r="C15" s="2" t="e">
        <f t="shared" ref="C15" si="6">(C8-C9)/(C7/SQRT(C10))</f>
        <v>#DIV/0!</v>
      </c>
      <c r="D15" s="2" t="e">
        <f>(D8-D9)/(D7/SQRT(D10))</f>
        <v>#DIV/0!</v>
      </c>
      <c r="E15" s="2" t="e">
        <f>(E8-E9)/(E7/SQRT(E10))</f>
        <v>#DIV/0!</v>
      </c>
      <c r="F15" s="2" t="e">
        <f>(F8-F9)/(F7/SQRT(F10))</f>
        <v>#DIV/0!</v>
      </c>
      <c r="G15" s="2" t="e">
        <f>(G8-G9)/(G7/SQRT(G10))</f>
        <v>#DIV/0!</v>
      </c>
      <c r="H15" s="29"/>
      <c r="I15" s="45" t="s">
        <v>95</v>
      </c>
      <c r="J15" s="45" t="str">
        <f>IF(J13=0,IF(J13&gt;J4,"p&gt;a,Fail to reject H0,not sufficient","P&lt;a,reject H0,Sufficient"),IF(J13&gt;J4,"p&gt;a,Fail to reject H0,not sufficient","P&lt;a,reject H0,Sufficient"))</f>
        <v>P&lt;a,reject H0,Sufficient</v>
      </c>
      <c r="K15" t="e">
        <f>IF(K13=0,IF(K13&gt;K4,"p&gt;a,Fail to reject H0,not sufficient","P&lt;a,reject H0,Sufficient"),IF(K13&gt;K4,"p&gt;a,Fail to reject H0,not sufficient","P&lt;a,reject H0,Sufficient"))</f>
        <v>#DIV/0!</v>
      </c>
      <c r="L15" s="45"/>
    </row>
    <row r="16" spans="1:21" x14ac:dyDescent="0.35">
      <c r="A16" s="69" t="s">
        <v>92</v>
      </c>
      <c r="B16" s="68">
        <f t="shared" ref="B16:G16" si="7">IF(B1&gt;0,IF(B10&gt;0,IF(B13&gt;0,1-_xlfn.NORM.DIST(B13,0,1,1),_xlfn.NORM.DIST(B13,0,1,1)),IF(B8&gt;0,1-_xlfn.NORM.DIST(B8,0,1,1),_xlfn.NORM.DIST(B8,0,1,1))),IF(B14&gt;0,1-_xlfn.T.DIST(B14,B10-1,1),_xlfn.T.DIST(B14,B10-1,1)))</f>
        <v>0.16674796979289142</v>
      </c>
      <c r="C16" s="1">
        <f t="shared" si="7"/>
        <v>1.5798847717858111E-2</v>
      </c>
      <c r="D16" s="68">
        <f t="shared" si="7"/>
        <v>1.5603358077094771E-3</v>
      </c>
      <c r="E16" s="68">
        <f t="shared" si="7"/>
        <v>2.4910901345317764E-3</v>
      </c>
      <c r="F16" s="68">
        <f t="shared" si="7"/>
        <v>0.13527030626662198</v>
      </c>
      <c r="G16" s="68">
        <f t="shared" si="7"/>
        <v>1.4971470481479055E-2</v>
      </c>
      <c r="H16" s="80"/>
      <c r="I16" s="45" t="s">
        <v>94</v>
      </c>
      <c r="J16" s="45" t="str">
        <f>IF(J9&gt;J4,"If P&gt;α, Fail to rejectH0, not sufficient evidence to support","if P&lt;=α, Reject H0,  There is sufficient evidence to suppot claim....")</f>
        <v>If P&gt;α, Fail to rejectH0, not sufficient evidence to support</v>
      </c>
      <c r="K16" t="e">
        <f>IF(K9&gt;K4,"If P&gt;α, Fail to rejectH0, not sufficient evidence to support","if P&lt;=α, Reject H0,  There is sufficient evidence to suppot claim....")</f>
        <v>#DIV/0!</v>
      </c>
      <c r="L16" s="45" t="str">
        <f>IF(AND(J18&lt;J9,J9&lt;J19),"in mean is enough evid., reject","not in mean,enough evid, fail to reject H0")</f>
        <v>not in mean,enough evid, fail to reject H0</v>
      </c>
    </row>
    <row r="17" spans="1:14" x14ac:dyDescent="0.35">
      <c r="A17" s="45" t="s">
        <v>93</v>
      </c>
      <c r="B17" s="47" t="str">
        <f t="shared" ref="B17:G17" si="8">IF(B16&gt;B5,"P&gt;a,Fail to reject H0, not sufficient","P&lt;a, null must go, sufficient")</f>
        <v>P&gt;a,Fail to reject H0, not sufficient</v>
      </c>
      <c r="C17" s="47" t="str">
        <f t="shared" si="8"/>
        <v>P&gt;a,Fail to reject H0, not sufficient</v>
      </c>
      <c r="D17" s="47" t="str">
        <f t="shared" si="8"/>
        <v>P&lt;a, null must go, sufficient</v>
      </c>
      <c r="E17" s="47" t="str">
        <f t="shared" si="8"/>
        <v>P&lt;a, null must go, sufficient</v>
      </c>
      <c r="F17" s="47" t="str">
        <f t="shared" si="8"/>
        <v>P&gt;a,Fail to reject H0, not sufficient</v>
      </c>
      <c r="G17" s="47" t="str">
        <f t="shared" si="8"/>
        <v>P&lt;a, null must go, sufficient</v>
      </c>
      <c r="I17" s="45" t="s">
        <v>119</v>
      </c>
      <c r="J17" s="45">
        <f>J5*(J8/SQRT(J3))</f>
        <v>0.74978268831764117</v>
      </c>
      <c r="K17" t="e">
        <f>K5*(K8/SQRT(K3))</f>
        <v>#NUM!</v>
      </c>
    </row>
    <row r="18" spans="1:14" ht="16.5" x14ac:dyDescent="0.45">
      <c r="A18" s="66" t="s">
        <v>106</v>
      </c>
      <c r="B18" s="67">
        <f>IF(B1&gt;0,IF(ISBLANK(B9),IF(ISBLANK(B10),IF(B$8&gt;0,(1-_xlfn.NORM.DIST(B$8,0,1,1))*2,(_xlfn.NORM.DIST(B$8,0,1,1))*2),IF(B13&gt;0,(1-_xlfn.NORM.DIST(B13,0,1,1))*2,(_xlfn.NORM.DIST(B13,0,1,1))*2)),IF(B8&gt;0,(1-_xlfn.NORM.DIST(B8,0,1,1))*2,(_xlfn.NORM.DIST(B8,0,1,1))*2)),IF(B14&gt;0,(1-_xlfn.T.DIST(B14,B10-1,1))*2,(_xlfn.T.DIST(B14,B10-1,1))*2))</f>
        <v>0.33349593958578283</v>
      </c>
      <c r="C18" s="1">
        <f>IF(B1&gt;0,IF(ISBLANK(B9),IF(ISBLANK(B10),IF(B$8&gt;0,(1-_xlfn.NORM.DIST(B$8,0,1,1))*2,(_xlfn.NORM.DIST(B$8,0,1,1))*2),IF(B13&gt;0,(1-_xlfn.NORM.DIST(B13,0,1,1))*2,(_xlfn.NORM.DIST(B13,0,1,1))*2)),IF(B8&gt;0,(1-_xlfn.NORM.DIST(B8,0,1,1))*2,(_xlfn.NORM.DIST(B8,0,1,1))*2)),IF(B14&gt;0,(1-_xlfn.T.DIST(B14,B10-1,1))*2,(_xlfn.T.DIST(B14,B10-1,1))*2))</f>
        <v>0.33349593958578283</v>
      </c>
      <c r="D18" s="67">
        <f>IF(D1&gt;0,IF(ISBLANK(D9),IF(ISBLANK(D10),IF(D$8&gt;0,(1-_xlfn.NORM.DIST(D$8,0,1,1))*2,(_xlfn.NORM.DIST(D$8,0,1,1))*2),IF(D13&gt;0,(1-_xlfn.NORM.DIST(D13,0,1,1))*2,(_xlfn.NORM.DIST(D13,0,1,1))*2)),IF(D8&gt;0,(1-_xlfn.NORM.DIST(D8,0,1,1))*2,(_xlfn.NORM.DIST(D8,0,1,1))*2)),IF(D14&gt;0,(1-_xlfn.T.DIST(D14,D10-1,1))*2,(_xlfn.T.DIST(D14,D10-1,1))*2))</f>
        <v>3.1206716154189543E-3</v>
      </c>
      <c r="E18" s="67">
        <f>IF(E1&gt;0,IF(ISBLANK(E9),IF(ISBLANK(E10),IF(E$8&gt;0,(1-_xlfn.NORM.DIST(E$8,0,1,1))*2,(_xlfn.NORM.DIST(E$8,0,1,1))*2),IF(E13&gt;0,(1-_xlfn.NORM.DIST(E13,0,1,1))*2,(_xlfn.NORM.DIST(E13,0,1,1))*2)),IF(E8&gt;0,(1-_xlfn.NORM.DIST(E8,0,1,1))*2,(_xlfn.NORM.DIST(E8,0,1,1))*2)),IF(E14&gt;0,(1-_xlfn.T.DIST(E14,E10-1,1))*2,(_xlfn.T.DIST(E14,E10-1,1))*2))</f>
        <v>4.9821802690635528E-3</v>
      </c>
      <c r="F18" s="67">
        <f>IF(F1&gt;0,IF(ISBLANK(F9),IF(ISBLANK(F10),IF(F$8&gt;0,(1-_xlfn.NORM.DIST(F$8,0,1,1))*2,(_xlfn.NORM.DIST(F$8,0,1,1))*2),IF(F13&gt;0,(1-_xlfn.NORM.DIST(F13,0,1,1))*2,(_xlfn.NORM.DIST(F13,0,1,1))*2)),IF(F8&gt;0,(1-_xlfn.NORM.DIST(F8,0,1,1))*2,(_xlfn.NORM.DIST(F8,0,1,1))*2)),IF(F14&gt;0,(1-_xlfn.T.DIST(F14,F10-1,1))*2,(_xlfn.T.DIST(F14,F10-1,1))*2))</f>
        <v>0.27054061253324396</v>
      </c>
      <c r="G18" s="67">
        <f>IF(G1&gt;0,IF(ISBLANK(G9),IF(ISBLANK(G10),IF(G$8&gt;0,(1-_xlfn.NORM.DIST(G$8,0,1,1))*2,(_xlfn.NORM.DIST(G$8,0,1,1))*2),IF(G13&gt;0,(1-_xlfn.NORM.DIST(G13,0,1,1))*2,(_xlfn.NORM.DIST(G13,0,1,1))*2)),IF(G8&gt;0,(1-_xlfn.NORM.DIST(G8,0,1,1))*2,(_xlfn.NORM.DIST(G8,0,1,1))*2)),IF(G14&gt;0,(1-_xlfn.T.DIST(G14,G10-1,1))*2,(_xlfn.T.DIST(G14,G10-1,1))*2))</f>
        <v>2.994294096295811E-2</v>
      </c>
      <c r="H18" s="31"/>
      <c r="I18" s="45" t="s">
        <v>120</v>
      </c>
      <c r="J18" s="94">
        <f>J7-J17</f>
        <v>1.0778839783490253</v>
      </c>
      <c r="K18" s="2" t="e">
        <f>K7-K17</f>
        <v>#DIV/0!</v>
      </c>
      <c r="M18" s="2"/>
    </row>
    <row r="19" spans="1:14" ht="16.5" x14ac:dyDescent="0.45">
      <c r="A19" s="45" t="s">
        <v>95</v>
      </c>
      <c r="B19" s="47" t="str" cm="1">
        <f t="array" ref="B19">IF(B18=0,IF(P&gt;a,"Fail to reject H0, not sufficient","B18&lt;B5,P&lt;a,Null must go, sufficient"),IF(B18&gt;B5,"P&gt;a,Fail to reject H0, sufficient","p&lt;a,null must go, sufficient"))</f>
        <v>P&gt;a,Fail to reject H0, sufficient</v>
      </c>
      <c r="C19" s="47" t="str">
        <f t="shared" ref="C19" si="9">IF(C18=0,IF(C18&gt;C5,"Fail to reject H0","reject H0"),IF(C18&gt;C5,"Fail to reject H0","reject H0"))</f>
        <v>Fail to reject H0</v>
      </c>
      <c r="D19" s="47" t="str" cm="1">
        <f t="array" ref="D19">IF(D18=0,IF(P&gt;a,"Fail to reject H0, not sufficient","B18&lt;B5,P&lt;a,Null must go, sufficient"),IF(D18&gt;D5,"P&gt;a,Fail to reject H0, sufficient","p&lt;a,null must go, sufficient"))</f>
        <v>p&lt;a,null must go, sufficient</v>
      </c>
      <c r="E19" s="47" t="str">
        <f>IF(E18&gt;E5,"P&gt;a,Fail to reject H0, sufficient","p&lt;a,null must go, sufficient")</f>
        <v>p&lt;a,null must go, sufficient</v>
      </c>
      <c r="F19" s="47" t="str" cm="1">
        <f t="array" ref="F19">IF(F18=0,IF(P&gt;a,"Fail to reject H0, not sufficient","B18&lt;B5,P&lt;a,Null must go, sufficient"),IF(F18&gt;F5,"P&gt;a,Fail to reject H0, sufficient","p&lt;a,null must go, sufficient"))</f>
        <v>P&gt;a,Fail to reject H0, sufficient</v>
      </c>
      <c r="G19" s="47" t="str" cm="1">
        <f t="array" ref="G19">IF(G18=0,IF(P&gt;a,"Fail to reject H0, not sufficient","B18&lt;B5,P&lt;a,Null must go, sufficient"),IF(G18&gt;G5,"P&gt;a,Fail to reject H0, sufficient","p&lt;a,null must go, sufficient"))</f>
        <v>p&lt;a,null must go, sufficient</v>
      </c>
      <c r="I19" s="45" t="s">
        <v>121</v>
      </c>
      <c r="J19" s="94">
        <f>J7+J17</f>
        <v>2.5774493549843074</v>
      </c>
      <c r="K19" s="2" t="e">
        <f>K7+K17</f>
        <v>#DIV/0!</v>
      </c>
      <c r="M19" s="2"/>
      <c r="N19" s="57"/>
    </row>
    <row r="20" spans="1:14" x14ac:dyDescent="0.35">
      <c r="A20" s="45" t="s">
        <v>94</v>
      </c>
      <c r="B20" t="str">
        <f>IF(B16&gt;B5,"If P&gt;α, Fail to rejectH0, not sufficient evidence to support","if P&lt;=α, Reject H0,  There is sufficient evidence to suppot claim....")</f>
        <v>If P&gt;α, Fail to rejectH0, not sufficient evidence to support</v>
      </c>
      <c r="D20" t="str">
        <f>IF(D16&gt;D5,"If P&gt;α, Fail to rejectH0, not sufficient evidence to support","if P&lt;=α, Reject H0,  There is sufficient evidence to suppot claim....")</f>
        <v>if P&lt;=α, Reject H0,  There is sufficient evidence to suppot claim....</v>
      </c>
      <c r="E20" t="str">
        <f>IF(E16&gt;E5,"If P&gt;α, Fail to rejectH0, not sufficient","if P&lt;=α, Reject H0,sufficient")</f>
        <v>if P&lt;=α, Reject H0,sufficient</v>
      </c>
      <c r="F20" t="str">
        <f>IF(F16&gt;F5,"If P&gt;α, Fail to rejectH0, not sufficient evidence to support","if P&lt;=α, Reject H0,  There is sufficient evidence to suppot claim....")</f>
        <v>If P&gt;α, Fail to rejectH0, not sufficient evidence to support</v>
      </c>
      <c r="G20" t="str">
        <f>IF(G16&gt;G5,"If P&gt;α, Fail to rejectH0, not sufficient evidence to support","if P&lt;=α, Reject H0,  There is sufficient evidence to suppot claim....")</f>
        <v>if P&lt;=α, Reject H0,  There is sufficient evidence to suppot claim....</v>
      </c>
      <c r="I20" s="45"/>
      <c r="J20" s="8"/>
      <c r="L20" s="1"/>
    </row>
    <row r="21" spans="1:14" ht="15" thickBot="1" x14ac:dyDescent="0.4">
      <c r="E21" s="71"/>
      <c r="I21" s="45"/>
      <c r="J21" s="8"/>
      <c r="L21" s="1"/>
    </row>
    <row r="22" spans="1:14" x14ac:dyDescent="0.35">
      <c r="C22">
        <f>COUNT(B$26:B$197)</f>
        <v>50</v>
      </c>
      <c r="D22" t="s">
        <v>6</v>
      </c>
      <c r="E22" s="81"/>
      <c r="F22" s="82" t="s">
        <v>139</v>
      </c>
      <c r="G22" s="83">
        <f>_xlfn.STDEV.P(E25:E30)</f>
        <v>191.58722991542695</v>
      </c>
      <c r="H22" s="29"/>
      <c r="I22" t="s">
        <v>122</v>
      </c>
      <c r="J22" t="s">
        <v>147</v>
      </c>
      <c r="K22" t="s">
        <v>148</v>
      </c>
    </row>
    <row r="23" spans="1:14" x14ac:dyDescent="0.35">
      <c r="C23" s="2">
        <f>_xlfn.STDEV.S(B$26:B$198)</f>
        <v>21.446554359093469</v>
      </c>
      <c r="D23" t="s">
        <v>105</v>
      </c>
      <c r="E23" s="84"/>
      <c r="F23" s="16" t="s">
        <v>44</v>
      </c>
      <c r="G23" s="85">
        <f>AVERAGE(E25:E30)</f>
        <v>765</v>
      </c>
      <c r="H23" s="29"/>
      <c r="I23" s="62">
        <v>1</v>
      </c>
      <c r="J23" s="62">
        <v>13.31</v>
      </c>
      <c r="K23" s="62">
        <v>19.7</v>
      </c>
      <c r="L23" s="62">
        <f>J23-K23</f>
        <v>-6.3899999999999988</v>
      </c>
    </row>
    <row r="24" spans="1:14" x14ac:dyDescent="0.35">
      <c r="C24" s="2">
        <f>AVERAGE(B$26:B$198)</f>
        <v>70.62</v>
      </c>
      <c r="D24" t="s">
        <v>44</v>
      </c>
      <c r="E24" s="84"/>
      <c r="F24" s="16" t="s">
        <v>6</v>
      </c>
      <c r="G24" s="86">
        <f>COUNT(E25:E200)</f>
        <v>6</v>
      </c>
      <c r="I24" s="63">
        <v>2</v>
      </c>
      <c r="J24" s="62">
        <v>6.16</v>
      </c>
      <c r="K24" s="62">
        <v>5.88</v>
      </c>
      <c r="L24" s="62">
        <f t="shared" ref="L24:L52" si="10">J24-K24</f>
        <v>0.28000000000000025</v>
      </c>
    </row>
    <row r="25" spans="1:14" x14ac:dyDescent="0.35">
      <c r="B25" t="s">
        <v>140</v>
      </c>
      <c r="C25" s="2"/>
      <c r="D25" s="2"/>
      <c r="E25" s="84">
        <v>780</v>
      </c>
      <c r="F25" s="16"/>
      <c r="G25" s="86"/>
      <c r="I25" s="62">
        <v>3</v>
      </c>
      <c r="J25" s="62">
        <v>12.32</v>
      </c>
      <c r="K25" s="62">
        <v>11.17</v>
      </c>
      <c r="L25" s="62">
        <f t="shared" si="10"/>
        <v>1.1500000000000004</v>
      </c>
    </row>
    <row r="26" spans="1:14" x14ac:dyDescent="0.35">
      <c r="B26">
        <v>84</v>
      </c>
      <c r="C26" s="2"/>
      <c r="D26" s="2"/>
      <c r="E26" s="84">
        <v>789</v>
      </c>
      <c r="F26" s="16"/>
      <c r="G26" s="86"/>
      <c r="I26" s="62">
        <v>4</v>
      </c>
      <c r="J26" s="62">
        <v>13.05</v>
      </c>
      <c r="K26" s="62">
        <v>12.31</v>
      </c>
      <c r="L26" s="62">
        <f t="shared" si="10"/>
        <v>0.74000000000000021</v>
      </c>
    </row>
    <row r="27" spans="1:14" x14ac:dyDescent="0.35">
      <c r="B27">
        <v>78</v>
      </c>
      <c r="C27" s="2"/>
      <c r="D27" s="2"/>
      <c r="E27" s="84">
        <v>1154</v>
      </c>
      <c r="F27" s="16"/>
      <c r="G27" s="86"/>
      <c r="I27" s="62">
        <v>5</v>
      </c>
      <c r="J27" s="62">
        <v>9.19</v>
      </c>
      <c r="K27" s="62">
        <v>3.74</v>
      </c>
      <c r="L27" s="62">
        <f t="shared" si="10"/>
        <v>5.4499999999999993</v>
      </c>
    </row>
    <row r="28" spans="1:14" x14ac:dyDescent="0.35">
      <c r="B28">
        <v>99</v>
      </c>
      <c r="E28" s="84">
        <v>673</v>
      </c>
      <c r="F28" s="16"/>
      <c r="G28" s="86"/>
      <c r="I28" s="62">
        <v>6</v>
      </c>
      <c r="J28" s="62">
        <v>6.44</v>
      </c>
      <c r="K28" s="62">
        <v>8.4</v>
      </c>
      <c r="L28" s="62">
        <f t="shared" si="10"/>
        <v>-1.96</v>
      </c>
    </row>
    <row r="29" spans="1:14" x14ac:dyDescent="0.35">
      <c r="B29">
        <v>46</v>
      </c>
      <c r="E29" s="84">
        <v>637</v>
      </c>
      <c r="F29" s="16"/>
      <c r="G29" s="86"/>
      <c r="I29" s="62">
        <v>7</v>
      </c>
      <c r="J29" s="62">
        <v>14.33</v>
      </c>
      <c r="K29" s="62">
        <v>6.43</v>
      </c>
      <c r="L29" s="62">
        <f t="shared" si="10"/>
        <v>7.9</v>
      </c>
    </row>
    <row r="30" spans="1:14" x14ac:dyDescent="0.35">
      <c r="B30">
        <v>103</v>
      </c>
      <c r="E30" s="84">
        <v>557</v>
      </c>
      <c r="F30" s="16"/>
      <c r="G30" s="86"/>
      <c r="I30" s="62">
        <v>8</v>
      </c>
      <c r="J30" s="62">
        <v>5.86</v>
      </c>
      <c r="K30" s="62">
        <v>3.91</v>
      </c>
      <c r="L30" s="62">
        <f t="shared" si="10"/>
        <v>1.9500000000000002</v>
      </c>
    </row>
    <row r="31" spans="1:14" x14ac:dyDescent="0.35">
      <c r="B31">
        <v>38</v>
      </c>
      <c r="E31" s="84"/>
      <c r="F31" s="16"/>
      <c r="G31" s="86"/>
      <c r="I31" s="62">
        <v>9</v>
      </c>
      <c r="J31" s="62">
        <v>17.649999999999999</v>
      </c>
      <c r="K31" s="62">
        <v>11.26</v>
      </c>
      <c r="L31" s="62">
        <f t="shared" si="10"/>
        <v>6.3899999999999988</v>
      </c>
    </row>
    <row r="32" spans="1:14" x14ac:dyDescent="0.35">
      <c r="B32">
        <v>35</v>
      </c>
      <c r="E32" s="84"/>
      <c r="F32" s="16"/>
      <c r="G32" s="86"/>
      <c r="I32" s="62">
        <v>10</v>
      </c>
      <c r="J32" s="62">
        <v>9.41</v>
      </c>
      <c r="K32" s="62">
        <v>3.36</v>
      </c>
      <c r="L32" s="62">
        <f t="shared" si="10"/>
        <v>6.0500000000000007</v>
      </c>
    </row>
    <row r="33" spans="2:12" x14ac:dyDescent="0.35">
      <c r="B33">
        <v>36</v>
      </c>
      <c r="E33" s="84"/>
      <c r="F33" s="16"/>
      <c r="G33" s="86"/>
      <c r="I33" s="62">
        <v>11</v>
      </c>
      <c r="J33" s="62">
        <v>16.079999999999998</v>
      </c>
      <c r="K33" s="62">
        <v>14.36</v>
      </c>
      <c r="L33" s="62">
        <f t="shared" si="10"/>
        <v>1.7199999999999989</v>
      </c>
    </row>
    <row r="34" spans="2:12" x14ac:dyDescent="0.35">
      <c r="B34">
        <v>36</v>
      </c>
      <c r="E34" s="84"/>
      <c r="F34" s="16"/>
      <c r="G34" s="86"/>
      <c r="I34">
        <v>12</v>
      </c>
      <c r="J34">
        <v>15.09</v>
      </c>
      <c r="K34">
        <v>9.11</v>
      </c>
      <c r="L34" s="62">
        <f t="shared" si="10"/>
        <v>5.98</v>
      </c>
    </row>
    <row r="35" spans="2:12" x14ac:dyDescent="0.35">
      <c r="B35">
        <v>75</v>
      </c>
      <c r="E35" s="84"/>
      <c r="F35" s="16"/>
      <c r="G35" s="86"/>
      <c r="I35">
        <v>13</v>
      </c>
      <c r="J35">
        <v>9.5500000000000007</v>
      </c>
      <c r="K35">
        <v>9.1999999999999993</v>
      </c>
      <c r="L35" s="62">
        <f t="shared" si="10"/>
        <v>0.35000000000000142</v>
      </c>
    </row>
    <row r="36" spans="2:12" x14ac:dyDescent="0.35">
      <c r="B36">
        <v>63</v>
      </c>
      <c r="E36" s="84"/>
      <c r="F36" s="16"/>
      <c r="G36" s="86"/>
      <c r="I36">
        <v>14</v>
      </c>
      <c r="J36">
        <v>20.12</v>
      </c>
      <c r="K36">
        <v>18.350000000000001</v>
      </c>
      <c r="L36" s="62">
        <f t="shared" si="10"/>
        <v>1.7699999999999996</v>
      </c>
    </row>
    <row r="37" spans="2:12" x14ac:dyDescent="0.35">
      <c r="B37">
        <v>78</v>
      </c>
      <c r="E37" s="84"/>
      <c r="F37" s="16"/>
      <c r="G37" s="86"/>
      <c r="I37">
        <v>15</v>
      </c>
      <c r="J37">
        <v>7.57</v>
      </c>
      <c r="K37">
        <v>5.92</v>
      </c>
      <c r="L37" s="62">
        <f t="shared" si="10"/>
        <v>1.6500000000000004</v>
      </c>
    </row>
    <row r="38" spans="2:12" x14ac:dyDescent="0.35">
      <c r="B38">
        <v>44</v>
      </c>
      <c r="E38" s="84"/>
      <c r="F38" s="16"/>
      <c r="G38" s="86"/>
      <c r="I38">
        <v>16</v>
      </c>
      <c r="J38">
        <v>6.33</v>
      </c>
      <c r="K38">
        <v>3.86</v>
      </c>
      <c r="L38" s="62">
        <f t="shared" si="10"/>
        <v>2.4700000000000002</v>
      </c>
    </row>
    <row r="39" spans="2:12" ht="15" thickBot="1" x14ac:dyDescent="0.4">
      <c r="B39">
        <v>83</v>
      </c>
      <c r="E39" s="87"/>
      <c r="F39" s="88"/>
      <c r="G39" s="89"/>
      <c r="I39">
        <v>17</v>
      </c>
      <c r="J39">
        <v>2.41</v>
      </c>
      <c r="K39">
        <v>1.1299999999999999</v>
      </c>
      <c r="L39" s="62">
        <f t="shared" si="10"/>
        <v>1.2800000000000002</v>
      </c>
    </row>
    <row r="40" spans="2:12" x14ac:dyDescent="0.35">
      <c r="B40">
        <v>83</v>
      </c>
      <c r="I40">
        <v>18</v>
      </c>
      <c r="J40">
        <v>6.38</v>
      </c>
      <c r="K40">
        <v>8.82</v>
      </c>
      <c r="L40" s="62">
        <f t="shared" si="10"/>
        <v>-2.4400000000000004</v>
      </c>
    </row>
    <row r="41" spans="2:12" x14ac:dyDescent="0.35">
      <c r="B41">
        <v>50</v>
      </c>
      <c r="I41">
        <v>19</v>
      </c>
      <c r="J41">
        <v>6.98</v>
      </c>
      <c r="K41">
        <v>2.65</v>
      </c>
      <c r="L41" s="62">
        <f t="shared" si="10"/>
        <v>4.33</v>
      </c>
    </row>
    <row r="42" spans="2:12" x14ac:dyDescent="0.35">
      <c r="B42">
        <v>44</v>
      </c>
      <c r="I42">
        <v>20</v>
      </c>
      <c r="J42">
        <v>7.72</v>
      </c>
      <c r="K42">
        <v>3.86</v>
      </c>
      <c r="L42" s="62">
        <f t="shared" si="10"/>
        <v>3.86</v>
      </c>
    </row>
    <row r="43" spans="2:12" x14ac:dyDescent="0.35">
      <c r="B43">
        <v>53</v>
      </c>
      <c r="I43">
        <v>21</v>
      </c>
      <c r="J43">
        <v>11.08</v>
      </c>
      <c r="K43">
        <v>12.47</v>
      </c>
      <c r="L43" s="62">
        <f t="shared" si="10"/>
        <v>-1.3900000000000006</v>
      </c>
    </row>
    <row r="44" spans="2:12" x14ac:dyDescent="0.35">
      <c r="B44">
        <v>45</v>
      </c>
      <c r="I44">
        <v>22</v>
      </c>
      <c r="J44">
        <v>13.61</v>
      </c>
      <c r="K44">
        <v>8.9499999999999993</v>
      </c>
      <c r="L44" s="62">
        <f t="shared" si="10"/>
        <v>4.66</v>
      </c>
    </row>
    <row r="45" spans="2:12" x14ac:dyDescent="0.35">
      <c r="B45">
        <v>62</v>
      </c>
      <c r="I45">
        <v>23</v>
      </c>
      <c r="J45">
        <v>6.67</v>
      </c>
      <c r="K45">
        <v>6.09</v>
      </c>
      <c r="L45" s="62">
        <f t="shared" si="10"/>
        <v>0.58000000000000007</v>
      </c>
    </row>
    <row r="46" spans="2:12" x14ac:dyDescent="0.35">
      <c r="B46">
        <v>66</v>
      </c>
      <c r="I46">
        <v>24</v>
      </c>
      <c r="J46">
        <v>9.83</v>
      </c>
      <c r="K46">
        <v>6.26</v>
      </c>
      <c r="L46" s="62">
        <f t="shared" si="10"/>
        <v>3.5700000000000003</v>
      </c>
    </row>
    <row r="47" spans="2:12" x14ac:dyDescent="0.35">
      <c r="B47">
        <v>102</v>
      </c>
      <c r="I47">
        <v>25</v>
      </c>
      <c r="J47">
        <v>12.43</v>
      </c>
      <c r="K47">
        <v>8.57</v>
      </c>
      <c r="L47" s="62">
        <f t="shared" si="10"/>
        <v>3.8599999999999994</v>
      </c>
    </row>
    <row r="48" spans="2:12" x14ac:dyDescent="0.35">
      <c r="B48">
        <v>49</v>
      </c>
      <c r="I48">
        <v>26</v>
      </c>
      <c r="J48">
        <v>12.73</v>
      </c>
      <c r="K48">
        <v>14.83</v>
      </c>
      <c r="L48" s="62">
        <f t="shared" si="10"/>
        <v>-2.0999999999999996</v>
      </c>
    </row>
    <row r="49" spans="2:12" x14ac:dyDescent="0.35">
      <c r="B49">
        <v>83</v>
      </c>
      <c r="I49">
        <v>27</v>
      </c>
      <c r="J49">
        <v>7.98</v>
      </c>
      <c r="K49">
        <v>6.09</v>
      </c>
      <c r="L49" s="62">
        <f t="shared" si="10"/>
        <v>1.8900000000000006</v>
      </c>
    </row>
    <row r="50" spans="2:12" x14ac:dyDescent="0.35">
      <c r="B50">
        <v>71</v>
      </c>
      <c r="I50">
        <v>28</v>
      </c>
      <c r="J50">
        <v>11.42</v>
      </c>
      <c r="K50">
        <v>12.81</v>
      </c>
      <c r="L50" s="62">
        <f t="shared" si="10"/>
        <v>-1.3900000000000006</v>
      </c>
    </row>
    <row r="51" spans="2:12" x14ac:dyDescent="0.35">
      <c r="B51">
        <v>89</v>
      </c>
      <c r="I51">
        <v>29</v>
      </c>
      <c r="J51">
        <v>6.96</v>
      </c>
      <c r="K51">
        <v>7.6</v>
      </c>
      <c r="L51" s="62">
        <f t="shared" si="10"/>
        <v>-0.63999999999999968</v>
      </c>
    </row>
    <row r="52" spans="2:12" x14ac:dyDescent="0.35">
      <c r="B52">
        <v>87</v>
      </c>
      <c r="I52">
        <v>30</v>
      </c>
      <c r="J52">
        <v>6.83</v>
      </c>
      <c r="K52">
        <v>3.57</v>
      </c>
      <c r="L52" s="62">
        <f t="shared" si="10"/>
        <v>3.2600000000000002</v>
      </c>
    </row>
    <row r="53" spans="2:12" x14ac:dyDescent="0.35">
      <c r="B53">
        <v>76</v>
      </c>
    </row>
    <row r="54" spans="2:12" x14ac:dyDescent="0.35">
      <c r="B54">
        <v>83</v>
      </c>
    </row>
    <row r="55" spans="2:12" x14ac:dyDescent="0.35">
      <c r="B55">
        <v>96</v>
      </c>
    </row>
    <row r="56" spans="2:12" x14ac:dyDescent="0.35">
      <c r="B56">
        <v>104</v>
      </c>
    </row>
    <row r="57" spans="2:12" x14ac:dyDescent="0.35">
      <c r="B57">
        <v>75</v>
      </c>
    </row>
    <row r="58" spans="2:12" x14ac:dyDescent="0.35">
      <c r="B58">
        <v>35</v>
      </c>
    </row>
    <row r="59" spans="2:12" x14ac:dyDescent="0.35">
      <c r="B59">
        <v>75</v>
      </c>
    </row>
    <row r="60" spans="2:12" x14ac:dyDescent="0.35">
      <c r="B60">
        <v>44</v>
      </c>
    </row>
    <row r="61" spans="2:12" x14ac:dyDescent="0.35">
      <c r="B61">
        <v>73</v>
      </c>
    </row>
    <row r="62" spans="2:12" x14ac:dyDescent="0.35">
      <c r="B62">
        <v>59</v>
      </c>
    </row>
    <row r="63" spans="2:12" x14ac:dyDescent="0.35">
      <c r="B63">
        <v>77</v>
      </c>
    </row>
    <row r="64" spans="2:12" x14ac:dyDescent="0.35">
      <c r="B64">
        <v>65</v>
      </c>
    </row>
    <row r="65" spans="2:2" x14ac:dyDescent="0.35">
      <c r="B65">
        <v>83</v>
      </c>
    </row>
    <row r="66" spans="2:2" x14ac:dyDescent="0.35">
      <c r="B66">
        <v>49</v>
      </c>
    </row>
    <row r="67" spans="2:2" x14ac:dyDescent="0.35">
      <c r="B67">
        <v>105</v>
      </c>
    </row>
    <row r="68" spans="2:2" x14ac:dyDescent="0.35">
      <c r="B68">
        <v>82</v>
      </c>
    </row>
    <row r="69" spans="2:2" x14ac:dyDescent="0.35">
      <c r="B69">
        <v>104</v>
      </c>
    </row>
    <row r="70" spans="2:2" x14ac:dyDescent="0.35">
      <c r="B70">
        <v>85</v>
      </c>
    </row>
    <row r="71" spans="2:2" x14ac:dyDescent="0.35">
      <c r="B71">
        <v>42</v>
      </c>
    </row>
    <row r="72" spans="2:2" x14ac:dyDescent="0.35">
      <c r="B72">
        <v>98</v>
      </c>
    </row>
    <row r="73" spans="2:2" x14ac:dyDescent="0.35">
      <c r="B73">
        <v>87</v>
      </c>
    </row>
    <row r="74" spans="2:2" x14ac:dyDescent="0.35">
      <c r="B74">
        <v>87</v>
      </c>
    </row>
    <row r="75" spans="2:2" x14ac:dyDescent="0.35">
      <c r="B75">
        <v>65</v>
      </c>
    </row>
  </sheetData>
  <pageMargins left="0.7" right="0.7" top="0.75" bottom="0.75" header="0.3" footer="0.3"/>
  <pageSetup orientation="portrait" verticalDpi="300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15973-FE2D-4C93-A61D-8ED0D05D6753}">
  <dimension ref="A1:D31"/>
  <sheetViews>
    <sheetView topLeftCell="A2" workbookViewId="0">
      <selection activeCell="D12" sqref="D12"/>
    </sheetView>
  </sheetViews>
  <sheetFormatPr defaultRowHeight="14.5" x14ac:dyDescent="0.35"/>
  <cols>
    <col min="2" max="3" width="9.90625" bestFit="1" customWidth="1"/>
  </cols>
  <sheetData>
    <row r="1" spans="1:4" ht="15" thickBot="1" x14ac:dyDescent="0.4">
      <c r="A1" s="81" t="s">
        <v>152</v>
      </c>
      <c r="B1" s="82"/>
      <c r="C1" s="82"/>
      <c r="D1" s="26"/>
    </row>
    <row r="2" spans="1:4" x14ac:dyDescent="0.35">
      <c r="A2" s="12" t="s">
        <v>6</v>
      </c>
      <c r="B2" s="12" t="s">
        <v>153</v>
      </c>
      <c r="C2" s="12" t="s">
        <v>154</v>
      </c>
    </row>
    <row r="3" spans="1:4" x14ac:dyDescent="0.35">
      <c r="A3" s="12">
        <v>4</v>
      </c>
      <c r="B3" s="12">
        <v>0.95</v>
      </c>
      <c r="C3" s="12">
        <v>0.99</v>
      </c>
    </row>
    <row r="4" spans="1:4" x14ac:dyDescent="0.35">
      <c r="A4" s="12">
        <v>5</v>
      </c>
      <c r="B4" s="12">
        <v>0.878</v>
      </c>
      <c r="C4" s="12">
        <v>0.95899999999999996</v>
      </c>
    </row>
    <row r="5" spans="1:4" x14ac:dyDescent="0.35">
      <c r="A5" s="12">
        <v>6</v>
      </c>
      <c r="B5" s="12">
        <v>0.81100000000000005</v>
      </c>
      <c r="C5" s="12">
        <v>0.91700000000000004</v>
      </c>
    </row>
    <row r="6" spans="1:4" x14ac:dyDescent="0.35">
      <c r="A6" s="12">
        <v>7</v>
      </c>
      <c r="B6" s="12">
        <v>0.754</v>
      </c>
      <c r="C6" s="12">
        <v>0.875</v>
      </c>
    </row>
    <row r="7" spans="1:4" x14ac:dyDescent="0.35">
      <c r="A7" s="12">
        <v>8</v>
      </c>
      <c r="B7" s="12">
        <v>0.70699999999999996</v>
      </c>
      <c r="C7" s="12">
        <v>0.83399999999999996</v>
      </c>
    </row>
    <row r="8" spans="1:4" x14ac:dyDescent="0.35">
      <c r="A8" s="12">
        <v>9</v>
      </c>
      <c r="B8" s="12">
        <v>0.66600000000000004</v>
      </c>
      <c r="C8" s="12">
        <v>0.79800000000000004</v>
      </c>
    </row>
    <row r="9" spans="1:4" x14ac:dyDescent="0.35">
      <c r="A9" s="12">
        <v>10</v>
      </c>
      <c r="B9" s="12">
        <v>0.63200000000000001</v>
      </c>
      <c r="C9" s="12">
        <v>0.76500000000000001</v>
      </c>
    </row>
    <row r="10" spans="1:4" x14ac:dyDescent="0.35">
      <c r="A10" s="12">
        <v>11</v>
      </c>
      <c r="B10" s="12">
        <v>0.60199999999999998</v>
      </c>
      <c r="C10" s="12">
        <v>0.73499999999999999</v>
      </c>
    </row>
    <row r="11" spans="1:4" x14ac:dyDescent="0.35">
      <c r="A11" s="12">
        <v>12</v>
      </c>
      <c r="B11" s="12">
        <v>0.57599999999999996</v>
      </c>
      <c r="C11" s="12">
        <v>0.70799999999999996</v>
      </c>
    </row>
    <row r="12" spans="1:4" x14ac:dyDescent="0.35">
      <c r="A12" s="12">
        <v>13</v>
      </c>
      <c r="B12" s="12">
        <v>0.55300000000000005</v>
      </c>
      <c r="C12" s="12">
        <v>0.68400000000000005</v>
      </c>
    </row>
    <row r="13" spans="1:4" x14ac:dyDescent="0.35">
      <c r="A13" s="12">
        <v>14</v>
      </c>
      <c r="B13" s="12">
        <v>0.53200000000000003</v>
      </c>
      <c r="C13" s="12">
        <v>0.66100000000000003</v>
      </c>
    </row>
    <row r="14" spans="1:4" x14ac:dyDescent="0.35">
      <c r="A14" s="12">
        <v>15</v>
      </c>
      <c r="B14" s="12">
        <v>0.51400000000000001</v>
      </c>
      <c r="C14" s="12">
        <v>0.64100000000000001</v>
      </c>
    </row>
    <row r="15" spans="1:4" x14ac:dyDescent="0.35">
      <c r="A15" s="12">
        <v>16</v>
      </c>
      <c r="B15" s="12">
        <v>0.497</v>
      </c>
      <c r="C15" s="12">
        <v>0.623</v>
      </c>
    </row>
    <row r="16" spans="1:4" x14ac:dyDescent="0.35">
      <c r="A16" s="12">
        <v>17</v>
      </c>
      <c r="B16" s="12">
        <v>0.48199999999999998</v>
      </c>
      <c r="C16" s="12">
        <v>0.60599999999999998</v>
      </c>
    </row>
    <row r="17" spans="1:3" x14ac:dyDescent="0.35">
      <c r="A17" s="12">
        <v>18</v>
      </c>
      <c r="B17" s="12">
        <v>0.46800000000000003</v>
      </c>
      <c r="C17" s="12">
        <v>0.59</v>
      </c>
    </row>
    <row r="18" spans="1:3" x14ac:dyDescent="0.35">
      <c r="A18" s="12">
        <v>19</v>
      </c>
      <c r="B18" s="12">
        <v>0.45600000000000002</v>
      </c>
      <c r="C18" s="12">
        <v>0.57499999999999996</v>
      </c>
    </row>
    <row r="19" spans="1:3" x14ac:dyDescent="0.35">
      <c r="A19" s="12">
        <v>20</v>
      </c>
      <c r="B19" s="12">
        <v>0.44400000000000001</v>
      </c>
      <c r="C19" s="12">
        <v>0.56100000000000005</v>
      </c>
    </row>
    <row r="20" spans="1:3" x14ac:dyDescent="0.35">
      <c r="A20" s="12">
        <v>25</v>
      </c>
      <c r="B20" s="12">
        <v>0.39600000000000002</v>
      </c>
      <c r="C20" s="12">
        <v>0.505</v>
      </c>
    </row>
    <row r="21" spans="1:3" x14ac:dyDescent="0.35">
      <c r="A21" s="12">
        <v>30</v>
      </c>
      <c r="B21" s="12">
        <v>0.36099999999999999</v>
      </c>
      <c r="C21" s="12">
        <v>0.46300000000000002</v>
      </c>
    </row>
    <row r="22" spans="1:3" x14ac:dyDescent="0.35">
      <c r="A22" s="12">
        <v>35</v>
      </c>
      <c r="B22" s="12">
        <v>0.33500000000000002</v>
      </c>
      <c r="C22" s="12">
        <v>0.43</v>
      </c>
    </row>
    <row r="23" spans="1:3" x14ac:dyDescent="0.35">
      <c r="A23" s="12">
        <v>40</v>
      </c>
      <c r="B23" s="12">
        <v>0.312</v>
      </c>
      <c r="C23" s="12">
        <v>0.40200000000000002</v>
      </c>
    </row>
    <row r="24" spans="1:3" x14ac:dyDescent="0.35">
      <c r="A24" s="12">
        <v>45</v>
      </c>
      <c r="B24" s="12">
        <v>0.29399999999999998</v>
      </c>
      <c r="C24" s="12">
        <v>0.378</v>
      </c>
    </row>
    <row r="25" spans="1:3" x14ac:dyDescent="0.35">
      <c r="A25" s="12">
        <v>50</v>
      </c>
      <c r="B25" s="12">
        <v>0.27900000000000003</v>
      </c>
      <c r="C25" s="12">
        <v>0.36099999999999999</v>
      </c>
    </row>
    <row r="26" spans="1:3" x14ac:dyDescent="0.35">
      <c r="A26" s="12">
        <v>60</v>
      </c>
      <c r="B26" s="12">
        <v>0.254</v>
      </c>
      <c r="C26" s="12">
        <v>0.33</v>
      </c>
    </row>
    <row r="27" spans="1:3" x14ac:dyDescent="0.35">
      <c r="A27" s="12">
        <v>70</v>
      </c>
      <c r="B27" s="12">
        <v>0.23599999999999999</v>
      </c>
      <c r="C27" s="12">
        <v>0.30499999999999999</v>
      </c>
    </row>
    <row r="28" spans="1:3" x14ac:dyDescent="0.35">
      <c r="A28" s="12">
        <v>80</v>
      </c>
      <c r="B28" s="12">
        <v>0.22</v>
      </c>
      <c r="C28" s="12">
        <v>0.28599999999999998</v>
      </c>
    </row>
    <row r="29" spans="1:3" x14ac:dyDescent="0.35">
      <c r="A29" s="12">
        <v>90</v>
      </c>
      <c r="B29" s="12">
        <v>0.20699999999999999</v>
      </c>
      <c r="C29" s="12">
        <v>0.26900000000000002</v>
      </c>
    </row>
    <row r="30" spans="1:3" x14ac:dyDescent="0.35">
      <c r="A30" s="12">
        <v>100</v>
      </c>
      <c r="B30" s="12">
        <v>0.19600000000000001</v>
      </c>
      <c r="C30" s="12">
        <v>0.25600000000000001</v>
      </c>
    </row>
    <row r="31" spans="1:3" x14ac:dyDescent="0.35">
      <c r="A31" t="s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B586B-AC39-4324-8FB8-1AC738A2F67D}">
  <dimension ref="A3:D96"/>
  <sheetViews>
    <sheetView topLeftCell="A34" workbookViewId="0">
      <selection activeCell="C16" sqref="C16"/>
    </sheetView>
  </sheetViews>
  <sheetFormatPr defaultRowHeight="14.5" x14ac:dyDescent="0.35"/>
  <cols>
    <col min="1" max="1" width="11" customWidth="1"/>
  </cols>
  <sheetData>
    <row r="3" spans="1:2" x14ac:dyDescent="0.35">
      <c r="A3" t="s">
        <v>44</v>
      </c>
      <c r="B3" t="s">
        <v>156</v>
      </c>
    </row>
    <row r="4" spans="1:2" x14ac:dyDescent="0.35">
      <c r="A4">
        <v>10</v>
      </c>
      <c r="B4">
        <v>7.45</v>
      </c>
    </row>
    <row r="5" spans="1:2" x14ac:dyDescent="0.35">
      <c r="A5">
        <v>8</v>
      </c>
      <c r="B5">
        <v>6.77</v>
      </c>
    </row>
    <row r="6" spans="1:2" x14ac:dyDescent="0.35">
      <c r="A6">
        <v>13</v>
      </c>
      <c r="B6">
        <v>12.73</v>
      </c>
    </row>
    <row r="7" spans="1:2" x14ac:dyDescent="0.35">
      <c r="A7">
        <v>9</v>
      </c>
      <c r="B7">
        <v>7.11</v>
      </c>
    </row>
    <row r="8" spans="1:2" x14ac:dyDescent="0.35">
      <c r="A8">
        <v>11</v>
      </c>
      <c r="B8">
        <v>7.81</v>
      </c>
    </row>
    <row r="9" spans="1:2" x14ac:dyDescent="0.35">
      <c r="A9">
        <v>14</v>
      </c>
      <c r="B9">
        <v>8.85</v>
      </c>
    </row>
    <row r="10" spans="1:2" x14ac:dyDescent="0.35">
      <c r="A10">
        <v>6</v>
      </c>
      <c r="B10">
        <v>6.09</v>
      </c>
    </row>
    <row r="11" spans="1:2" x14ac:dyDescent="0.35">
      <c r="A11">
        <v>4</v>
      </c>
      <c r="B11">
        <v>5.39</v>
      </c>
    </row>
    <row r="12" spans="1:2" x14ac:dyDescent="0.35">
      <c r="A12">
        <v>12</v>
      </c>
      <c r="B12">
        <v>8.16</v>
      </c>
    </row>
    <row r="13" spans="1:2" x14ac:dyDescent="0.35">
      <c r="A13">
        <v>7</v>
      </c>
      <c r="B13">
        <v>6.42</v>
      </c>
    </row>
    <row r="14" spans="1:2" x14ac:dyDescent="0.35">
      <c r="A14">
        <v>5</v>
      </c>
      <c r="B14">
        <v>5.73</v>
      </c>
    </row>
    <row r="15" spans="1:2" x14ac:dyDescent="0.35">
      <c r="B15">
        <f>SQRT(0.66878)</f>
        <v>0.81778970401931572</v>
      </c>
    </row>
    <row r="16" spans="1:2" x14ac:dyDescent="0.35">
      <c r="A16" t="s">
        <v>157</v>
      </c>
      <c r="B16" s="2">
        <f>CORREL(A4:A14,B4:B14)</f>
        <v>0.81720015928598233</v>
      </c>
    </row>
    <row r="17" spans="1:2" x14ac:dyDescent="0.35">
      <c r="A17">
        <f>COUNT(A4:A14)</f>
        <v>11</v>
      </c>
      <c r="B17">
        <v>0.60199999999999998</v>
      </c>
    </row>
    <row r="18" spans="1:2" x14ac:dyDescent="0.35">
      <c r="A18" t="s">
        <v>158</v>
      </c>
    </row>
    <row r="26" spans="1:2" x14ac:dyDescent="0.35">
      <c r="A26" t="s">
        <v>159</v>
      </c>
    </row>
    <row r="27" spans="1:2" x14ac:dyDescent="0.35">
      <c r="A27" s="97"/>
    </row>
    <row r="28" spans="1:2" x14ac:dyDescent="0.35">
      <c r="A28" s="98" t="s">
        <v>160</v>
      </c>
    </row>
    <row r="29" spans="1:2" x14ac:dyDescent="0.35">
      <c r="A29" s="99" t="s">
        <v>44</v>
      </c>
      <c r="B29" t="s">
        <v>156</v>
      </c>
    </row>
    <row r="30" spans="1:2" x14ac:dyDescent="0.35">
      <c r="A30">
        <v>5</v>
      </c>
      <c r="B30">
        <v>9.07</v>
      </c>
    </row>
    <row r="31" spans="1:2" x14ac:dyDescent="0.35">
      <c r="A31">
        <v>6</v>
      </c>
      <c r="B31">
        <v>11.09</v>
      </c>
    </row>
    <row r="32" spans="1:2" x14ac:dyDescent="0.35">
      <c r="A32">
        <v>8</v>
      </c>
      <c r="B32">
        <v>14.15</v>
      </c>
    </row>
    <row r="33" spans="1:2" x14ac:dyDescent="0.35">
      <c r="A33">
        <v>4</v>
      </c>
      <c r="B33">
        <v>6.71</v>
      </c>
    </row>
    <row r="34" spans="1:2" x14ac:dyDescent="0.35">
      <c r="A34">
        <v>3</v>
      </c>
      <c r="B34">
        <v>4.03</v>
      </c>
    </row>
    <row r="35" spans="1:2" x14ac:dyDescent="0.35">
      <c r="A35">
        <v>12</v>
      </c>
      <c r="B35">
        <v>16.309999999999999</v>
      </c>
    </row>
    <row r="36" spans="1:2" x14ac:dyDescent="0.35">
      <c r="A36">
        <v>9</v>
      </c>
      <c r="B36">
        <v>15.18</v>
      </c>
    </row>
    <row r="37" spans="1:2" x14ac:dyDescent="0.35">
      <c r="A37">
        <v>7</v>
      </c>
      <c r="B37">
        <v>12.78</v>
      </c>
    </row>
    <row r="38" spans="1:2" x14ac:dyDescent="0.35">
      <c r="A38">
        <v>10</v>
      </c>
      <c r="B38">
        <v>15.89</v>
      </c>
    </row>
    <row r="39" spans="1:2" x14ac:dyDescent="0.35">
      <c r="A39">
        <v>11</v>
      </c>
      <c r="B39">
        <v>16.27</v>
      </c>
    </row>
    <row r="40" spans="1:2" x14ac:dyDescent="0.35">
      <c r="A40">
        <v>13</v>
      </c>
      <c r="B40">
        <v>16.03</v>
      </c>
    </row>
    <row r="42" spans="1:2" x14ac:dyDescent="0.35">
      <c r="A42" t="s">
        <v>161</v>
      </c>
    </row>
    <row r="43" spans="1:2" x14ac:dyDescent="0.35">
      <c r="A43" t="s">
        <v>44</v>
      </c>
      <c r="B43" t="s">
        <v>156</v>
      </c>
    </row>
    <row r="44" spans="1:2" x14ac:dyDescent="0.35">
      <c r="A44">
        <v>9</v>
      </c>
      <c r="B44">
        <v>7.79</v>
      </c>
    </row>
    <row r="45" spans="1:2" x14ac:dyDescent="0.35">
      <c r="A45">
        <v>7</v>
      </c>
      <c r="B45">
        <v>6.65</v>
      </c>
    </row>
    <row r="46" spans="1:2" x14ac:dyDescent="0.35">
      <c r="A46">
        <v>11</v>
      </c>
      <c r="B46">
        <v>13.37</v>
      </c>
    </row>
    <row r="47" spans="1:2" x14ac:dyDescent="0.35">
      <c r="A47">
        <v>9</v>
      </c>
      <c r="B47">
        <v>7.42</v>
      </c>
    </row>
    <row r="48" spans="1:2" x14ac:dyDescent="0.35">
      <c r="A48">
        <v>10</v>
      </c>
      <c r="B48">
        <v>8.02</v>
      </c>
    </row>
    <row r="49" spans="1:3" x14ac:dyDescent="0.35">
      <c r="A49">
        <v>14</v>
      </c>
      <c r="B49">
        <v>9.23</v>
      </c>
    </row>
    <row r="50" spans="1:3" x14ac:dyDescent="0.35">
      <c r="A50">
        <v>5</v>
      </c>
      <c r="B50">
        <v>6.06</v>
      </c>
    </row>
    <row r="51" spans="1:3" x14ac:dyDescent="0.35">
      <c r="A51">
        <v>4</v>
      </c>
      <c r="B51">
        <v>5.35</v>
      </c>
    </row>
    <row r="52" spans="1:3" x14ac:dyDescent="0.35">
      <c r="A52">
        <v>13</v>
      </c>
      <c r="B52">
        <v>8.18</v>
      </c>
    </row>
    <row r="53" spans="1:3" x14ac:dyDescent="0.35">
      <c r="A53">
        <v>7</v>
      </c>
      <c r="B53">
        <v>6.32</v>
      </c>
    </row>
    <row r="54" spans="1:3" x14ac:dyDescent="0.35">
      <c r="A54">
        <v>6</v>
      </c>
      <c r="B54">
        <v>5.84</v>
      </c>
    </row>
    <row r="56" spans="1:3" x14ac:dyDescent="0.35">
      <c r="A56" t="s">
        <v>162</v>
      </c>
    </row>
    <row r="58" spans="1:3" x14ac:dyDescent="0.35">
      <c r="A58" t="s">
        <v>163</v>
      </c>
    </row>
    <row r="59" spans="1:3" x14ac:dyDescent="0.35">
      <c r="A59" t="s">
        <v>164</v>
      </c>
      <c r="B59" t="s">
        <v>165</v>
      </c>
    </row>
    <row r="60" spans="1:3" x14ac:dyDescent="0.35">
      <c r="A60">
        <v>44</v>
      </c>
      <c r="B60">
        <v>213</v>
      </c>
      <c r="C60">
        <f>9.6597*A60-210.79</f>
        <v>214.23680000000004</v>
      </c>
    </row>
    <row r="61" spans="1:3" x14ac:dyDescent="0.35">
      <c r="A61">
        <v>41</v>
      </c>
      <c r="B61">
        <v>206</v>
      </c>
      <c r="C61">
        <f t="shared" ref="C61:C66" si="0">9.6597*A61-210.79</f>
        <v>185.25770000000003</v>
      </c>
    </row>
    <row r="62" spans="1:3" x14ac:dyDescent="0.35">
      <c r="A62">
        <v>41</v>
      </c>
      <c r="B62">
        <v>176</v>
      </c>
      <c r="C62">
        <f t="shared" si="0"/>
        <v>185.25770000000003</v>
      </c>
    </row>
    <row r="63" spans="1:3" x14ac:dyDescent="0.35">
      <c r="A63">
        <v>55</v>
      </c>
      <c r="B63">
        <v>309</v>
      </c>
      <c r="C63">
        <f t="shared" si="0"/>
        <v>320.49350000000004</v>
      </c>
    </row>
    <row r="64" spans="1:3" x14ac:dyDescent="0.35">
      <c r="A64">
        <v>51</v>
      </c>
      <c r="B64">
        <v>300</v>
      </c>
      <c r="C64">
        <f t="shared" si="0"/>
        <v>281.85470000000009</v>
      </c>
    </row>
    <row r="65" spans="1:3" x14ac:dyDescent="0.35">
      <c r="A65">
        <v>42</v>
      </c>
      <c r="B65">
        <v>178</v>
      </c>
      <c r="C65">
        <f t="shared" si="0"/>
        <v>194.91740000000001</v>
      </c>
    </row>
    <row r="66" spans="1:3" x14ac:dyDescent="0.35">
      <c r="A66">
        <v>39</v>
      </c>
      <c r="C66">
        <f t="shared" si="0"/>
        <v>165.93830000000005</v>
      </c>
    </row>
    <row r="67" spans="1:3" x14ac:dyDescent="0.35">
      <c r="A67">
        <v>39</v>
      </c>
      <c r="C67">
        <f>9.7*A67-210.8</f>
        <v>167.49999999999994</v>
      </c>
    </row>
    <row r="69" spans="1:3" x14ac:dyDescent="0.35">
      <c r="A69" t="s">
        <v>166</v>
      </c>
    </row>
    <row r="70" spans="1:3" x14ac:dyDescent="0.35">
      <c r="A70" t="s">
        <v>167</v>
      </c>
      <c r="B70" t="s">
        <v>168</v>
      </c>
      <c r="C70">
        <f>COUNT(A71:A76)</f>
        <v>6</v>
      </c>
    </row>
    <row r="71" spans="1:3" x14ac:dyDescent="0.35">
      <c r="A71">
        <v>8.3000000000000007</v>
      </c>
      <c r="B71">
        <v>176</v>
      </c>
      <c r="C71">
        <f>44.457*A71-175.64</f>
        <v>193.35310000000004</v>
      </c>
    </row>
    <row r="72" spans="1:3" x14ac:dyDescent="0.35">
      <c r="A72">
        <v>7.3</v>
      </c>
      <c r="B72">
        <v>165</v>
      </c>
      <c r="C72">
        <f t="shared" ref="C72:C76" si="1">44.457*A72-175.64</f>
        <v>148.89609999999999</v>
      </c>
    </row>
    <row r="73" spans="1:3" x14ac:dyDescent="0.35">
      <c r="A73">
        <v>9.1</v>
      </c>
      <c r="B73">
        <v>235</v>
      </c>
      <c r="C73">
        <f t="shared" si="1"/>
        <v>228.9187</v>
      </c>
    </row>
    <row r="74" spans="1:3" x14ac:dyDescent="0.35">
      <c r="A74">
        <v>7.6</v>
      </c>
      <c r="B74">
        <v>145</v>
      </c>
      <c r="C74">
        <f t="shared" si="1"/>
        <v>162.23320000000001</v>
      </c>
    </row>
    <row r="75" spans="1:3" x14ac:dyDescent="0.35">
      <c r="A75">
        <v>7.1</v>
      </c>
      <c r="B75">
        <v>147</v>
      </c>
      <c r="C75">
        <f t="shared" si="1"/>
        <v>140.00470000000001</v>
      </c>
    </row>
    <row r="76" spans="1:3" x14ac:dyDescent="0.35">
      <c r="A76">
        <v>9.6999999999999993</v>
      </c>
      <c r="B76">
        <v>261</v>
      </c>
      <c r="C76">
        <f t="shared" si="1"/>
        <v>255.59289999999999</v>
      </c>
    </row>
    <row r="77" spans="1:3" x14ac:dyDescent="0.35">
      <c r="A77">
        <v>2</v>
      </c>
      <c r="C77">
        <f>44.457*A77-175.64</f>
        <v>-86.725999999999985</v>
      </c>
    </row>
    <row r="78" spans="1:3" x14ac:dyDescent="0.35">
      <c r="A78" t="s">
        <v>169</v>
      </c>
      <c r="B78">
        <v>0.81100000000000005</v>
      </c>
    </row>
    <row r="79" spans="1:3" x14ac:dyDescent="0.35">
      <c r="A79">
        <f>CORREL(A71:A76,B71:B76)</f>
        <v>0.9576850910972976</v>
      </c>
    </row>
    <row r="80" spans="1:3" x14ac:dyDescent="0.35">
      <c r="A80" s="100" t="s">
        <v>170</v>
      </c>
    </row>
    <row r="82" spans="1:4" x14ac:dyDescent="0.35">
      <c r="A82" t="s">
        <v>171</v>
      </c>
    </row>
    <row r="83" spans="1:4" x14ac:dyDescent="0.35">
      <c r="A83" t="s">
        <v>172</v>
      </c>
      <c r="B83" t="s">
        <v>173</v>
      </c>
    </row>
    <row r="84" spans="1:4" x14ac:dyDescent="0.35">
      <c r="A84">
        <v>106</v>
      </c>
      <c r="B84">
        <v>6.6</v>
      </c>
      <c r="C84">
        <f>-0.0049*A84+7.1016</f>
        <v>6.5822000000000003</v>
      </c>
      <c r="D84">
        <f>4.983-0.01*A84</f>
        <v>3.9229999999999996</v>
      </c>
    </row>
    <row r="85" spans="1:4" x14ac:dyDescent="0.35">
      <c r="A85">
        <v>13</v>
      </c>
      <c r="B85">
        <v>4.2</v>
      </c>
      <c r="C85">
        <f t="shared" ref="C85:C92" si="2">-0.0049*A85+7.1016</f>
        <v>7.0379000000000005</v>
      </c>
      <c r="D85">
        <f t="shared" ref="D85:D92" si="3">4.983-0.01*A85</f>
        <v>4.8529999999999998</v>
      </c>
    </row>
    <row r="86" spans="1:4" x14ac:dyDescent="0.35">
      <c r="A86">
        <v>12</v>
      </c>
      <c r="B86">
        <v>7.6</v>
      </c>
      <c r="C86">
        <f t="shared" si="2"/>
        <v>7.0428000000000006</v>
      </c>
      <c r="D86">
        <f t="shared" si="3"/>
        <v>4.8629999999999995</v>
      </c>
    </row>
    <row r="87" spans="1:4" x14ac:dyDescent="0.35">
      <c r="A87">
        <v>7</v>
      </c>
      <c r="B87">
        <v>5.4</v>
      </c>
      <c r="C87">
        <f t="shared" si="2"/>
        <v>7.0673000000000004</v>
      </c>
      <c r="D87">
        <f t="shared" si="3"/>
        <v>4.9129999999999994</v>
      </c>
    </row>
    <row r="88" spans="1:4" x14ac:dyDescent="0.35">
      <c r="A88">
        <v>11</v>
      </c>
      <c r="B88">
        <v>10.4</v>
      </c>
      <c r="C88">
        <f t="shared" si="2"/>
        <v>7.0477000000000007</v>
      </c>
      <c r="D88">
        <f t="shared" si="3"/>
        <v>4.8729999999999993</v>
      </c>
    </row>
    <row r="89" spans="1:4" x14ac:dyDescent="0.35">
      <c r="A89">
        <v>5</v>
      </c>
      <c r="B89">
        <v>7.4</v>
      </c>
      <c r="C89">
        <f t="shared" si="2"/>
        <v>7.0771000000000006</v>
      </c>
      <c r="D89">
        <f t="shared" si="3"/>
        <v>4.9329999999999998</v>
      </c>
    </row>
    <row r="90" spans="1:4" x14ac:dyDescent="0.35">
      <c r="A90">
        <v>6</v>
      </c>
      <c r="B90">
        <v>7.9</v>
      </c>
      <c r="C90">
        <f t="shared" si="2"/>
        <v>7.0722000000000005</v>
      </c>
      <c r="D90">
        <f t="shared" si="3"/>
        <v>4.923</v>
      </c>
    </row>
    <row r="91" spans="1:4" x14ac:dyDescent="0.35">
      <c r="A91">
        <v>6</v>
      </c>
      <c r="B91">
        <v>6.5</v>
      </c>
      <c r="C91">
        <f t="shared" si="2"/>
        <v>7.0722000000000005</v>
      </c>
      <c r="D91">
        <f t="shared" si="3"/>
        <v>4.923</v>
      </c>
    </row>
    <row r="92" spans="1:4" x14ac:dyDescent="0.35">
      <c r="A92">
        <v>3</v>
      </c>
      <c r="C92">
        <f t="shared" si="2"/>
        <v>7.0869</v>
      </c>
      <c r="D92">
        <f t="shared" si="3"/>
        <v>4.9529999999999994</v>
      </c>
    </row>
    <row r="93" spans="1:4" x14ac:dyDescent="0.35">
      <c r="A93">
        <v>3</v>
      </c>
      <c r="C93">
        <f>-0.005*A93+7.102</f>
        <v>7.0870000000000006</v>
      </c>
      <c r="D93">
        <f>5.567-0.097*A93</f>
        <v>5.2759999999999998</v>
      </c>
    </row>
    <row r="96" spans="1:4" x14ac:dyDescent="0.35">
      <c r="A96">
        <v>14</v>
      </c>
      <c r="B96">
        <f>4.983-0.01*A96</f>
        <v>4.843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5DDA9-E12A-4F84-9A4E-4E2ACEE7FBA9}">
  <dimension ref="A1:C41"/>
  <sheetViews>
    <sheetView workbookViewId="0">
      <selection activeCell="C2" sqref="C2"/>
    </sheetView>
  </sheetViews>
  <sheetFormatPr defaultRowHeight="14.5" x14ac:dyDescent="0.35"/>
  <sheetData>
    <row r="1" spans="1:3" x14ac:dyDescent="0.35">
      <c r="A1" t="s">
        <v>44</v>
      </c>
      <c r="B1" t="s">
        <v>156</v>
      </c>
    </row>
    <row r="2" spans="1:3" x14ac:dyDescent="0.35">
      <c r="A2">
        <v>10</v>
      </c>
      <c r="B2">
        <v>9.15</v>
      </c>
      <c r="C2">
        <f>0.4991*A2+3.0091</f>
        <v>8.0000999999999998</v>
      </c>
    </row>
    <row r="3" spans="1:3" x14ac:dyDescent="0.35">
      <c r="A3">
        <v>8</v>
      </c>
      <c r="B3">
        <v>8.15</v>
      </c>
      <c r="C3">
        <f t="shared" ref="C3:C12" si="0">0.4991*A3+3.0091</f>
        <v>7.0019</v>
      </c>
    </row>
    <row r="4" spans="1:3" x14ac:dyDescent="0.35">
      <c r="A4">
        <v>13</v>
      </c>
      <c r="B4">
        <v>8.74</v>
      </c>
      <c r="C4">
        <f t="shared" si="0"/>
        <v>9.497399999999999</v>
      </c>
    </row>
    <row r="5" spans="1:3" x14ac:dyDescent="0.35">
      <c r="A5">
        <v>9</v>
      </c>
      <c r="B5">
        <v>8.76</v>
      </c>
      <c r="C5">
        <f t="shared" si="0"/>
        <v>7.5010000000000003</v>
      </c>
    </row>
    <row r="6" spans="1:3" x14ac:dyDescent="0.35">
      <c r="A6">
        <v>11</v>
      </c>
      <c r="B6">
        <v>9.25</v>
      </c>
      <c r="C6">
        <f t="shared" si="0"/>
        <v>8.4992000000000001</v>
      </c>
    </row>
    <row r="7" spans="1:3" x14ac:dyDescent="0.35">
      <c r="A7">
        <v>14</v>
      </c>
      <c r="B7">
        <v>8.09</v>
      </c>
      <c r="C7">
        <f t="shared" si="0"/>
        <v>9.9965000000000011</v>
      </c>
    </row>
    <row r="8" spans="1:3" x14ac:dyDescent="0.35">
      <c r="A8">
        <v>6</v>
      </c>
      <c r="B8">
        <v>6.13</v>
      </c>
      <c r="C8">
        <f t="shared" si="0"/>
        <v>6.0037000000000003</v>
      </c>
    </row>
    <row r="9" spans="1:3" x14ac:dyDescent="0.35">
      <c r="A9">
        <v>4</v>
      </c>
      <c r="B9">
        <v>3.11</v>
      </c>
      <c r="C9">
        <f t="shared" si="0"/>
        <v>5.0054999999999996</v>
      </c>
    </row>
    <row r="10" spans="1:3" x14ac:dyDescent="0.35">
      <c r="A10">
        <v>12</v>
      </c>
      <c r="B10">
        <v>9.1300000000000008</v>
      </c>
      <c r="C10">
        <f t="shared" si="0"/>
        <v>8.9983000000000004</v>
      </c>
    </row>
    <row r="11" spans="1:3" x14ac:dyDescent="0.35">
      <c r="A11">
        <v>7</v>
      </c>
      <c r="B11">
        <v>7.27</v>
      </c>
      <c r="C11">
        <f t="shared" si="0"/>
        <v>6.5028000000000006</v>
      </c>
    </row>
    <row r="12" spans="1:3" x14ac:dyDescent="0.35">
      <c r="A12">
        <v>5</v>
      </c>
      <c r="B12">
        <v>4.7300000000000004</v>
      </c>
      <c r="C12">
        <f t="shared" si="0"/>
        <v>5.5045999999999999</v>
      </c>
    </row>
    <row r="14" spans="1:3" x14ac:dyDescent="0.35">
      <c r="A14" t="s">
        <v>174</v>
      </c>
      <c r="B14">
        <f>CORREL(A2:A12,B2:B12)</f>
        <v>0.81538284441761733</v>
      </c>
    </row>
    <row r="17" spans="1:3" x14ac:dyDescent="0.35">
      <c r="A17" t="s">
        <v>175</v>
      </c>
    </row>
    <row r="18" spans="1:3" x14ac:dyDescent="0.35">
      <c r="A18" t="s">
        <v>44</v>
      </c>
      <c r="B18" t="s">
        <v>156</v>
      </c>
    </row>
    <row r="19" spans="1:3" x14ac:dyDescent="0.35">
      <c r="A19">
        <v>2</v>
      </c>
      <c r="B19">
        <v>10</v>
      </c>
      <c r="C19">
        <f>-1.006*A19+11.15</f>
        <v>9.1379999999999999</v>
      </c>
    </row>
    <row r="20" spans="1:3" x14ac:dyDescent="0.35">
      <c r="A20">
        <v>8</v>
      </c>
      <c r="B20">
        <v>1</v>
      </c>
      <c r="C20">
        <f t="shared" ref="C20:C28" si="1">-1.006*A20+11.15</f>
        <v>3.1020000000000003</v>
      </c>
    </row>
    <row r="21" spans="1:3" x14ac:dyDescent="0.35">
      <c r="A21">
        <v>8</v>
      </c>
      <c r="B21">
        <v>2</v>
      </c>
      <c r="C21">
        <f t="shared" si="1"/>
        <v>3.1020000000000003</v>
      </c>
    </row>
    <row r="22" spans="1:3" x14ac:dyDescent="0.35">
      <c r="A22">
        <v>8</v>
      </c>
      <c r="B22">
        <v>3</v>
      </c>
      <c r="C22">
        <f t="shared" si="1"/>
        <v>3.1020000000000003</v>
      </c>
    </row>
    <row r="23" spans="1:3" x14ac:dyDescent="0.35">
      <c r="A23">
        <v>9</v>
      </c>
      <c r="B23">
        <v>1</v>
      </c>
      <c r="C23">
        <f t="shared" si="1"/>
        <v>2.0960000000000001</v>
      </c>
    </row>
    <row r="24" spans="1:3" x14ac:dyDescent="0.35">
      <c r="A24">
        <v>9</v>
      </c>
      <c r="B24">
        <v>2</v>
      </c>
      <c r="C24">
        <f t="shared" si="1"/>
        <v>2.0960000000000001</v>
      </c>
    </row>
    <row r="25" spans="1:3" x14ac:dyDescent="0.35">
      <c r="A25">
        <v>9</v>
      </c>
      <c r="B25">
        <v>3</v>
      </c>
      <c r="C25">
        <f t="shared" si="1"/>
        <v>2.0960000000000001</v>
      </c>
    </row>
    <row r="26" spans="1:3" x14ac:dyDescent="0.35">
      <c r="A26">
        <v>10</v>
      </c>
      <c r="B26">
        <v>1</v>
      </c>
      <c r="C26">
        <f t="shared" si="1"/>
        <v>1.0899999999999999</v>
      </c>
    </row>
    <row r="27" spans="1:3" x14ac:dyDescent="0.35">
      <c r="A27">
        <v>10</v>
      </c>
      <c r="B27">
        <v>2</v>
      </c>
      <c r="C27">
        <f t="shared" si="1"/>
        <v>1.0899999999999999</v>
      </c>
    </row>
    <row r="28" spans="1:3" x14ac:dyDescent="0.35">
      <c r="A28">
        <v>10</v>
      </c>
      <c r="B28">
        <v>3</v>
      </c>
      <c r="C28">
        <f t="shared" si="1"/>
        <v>1.0899999999999999</v>
      </c>
    </row>
    <row r="30" spans="1:3" x14ac:dyDescent="0.35">
      <c r="A30" t="s">
        <v>174</v>
      </c>
      <c r="B30" s="2">
        <f>CORREL(A19:A28,B19:B28)</f>
        <v>-0.89285948318688668</v>
      </c>
      <c r="C30" s="2">
        <f>-SQRT(0.7972)</f>
        <v>-0.8928605714219886</v>
      </c>
    </row>
    <row r="31" spans="1:3" x14ac:dyDescent="0.35">
      <c r="A31" t="s">
        <v>176</v>
      </c>
      <c r="B31">
        <f>CORREL(A20:A28,B20:B28)</f>
        <v>0</v>
      </c>
    </row>
    <row r="32" spans="1:3" x14ac:dyDescent="0.35">
      <c r="A32" t="s">
        <v>177</v>
      </c>
      <c r="B32" t="s">
        <v>178</v>
      </c>
    </row>
    <row r="33" spans="1:1" x14ac:dyDescent="0.35">
      <c r="A33" t="s">
        <v>179</v>
      </c>
    </row>
    <row r="40" spans="1:1" x14ac:dyDescent="0.35">
      <c r="A40" s="101" t="s">
        <v>180</v>
      </c>
    </row>
    <row r="41" spans="1:1" x14ac:dyDescent="0.35">
      <c r="A41" s="102" t="s">
        <v>181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461E9-7F60-42CF-985F-9AC0DCB8B6F5}">
  <dimension ref="A1:A2"/>
  <sheetViews>
    <sheetView workbookViewId="0">
      <selection activeCell="A2" sqref="A2"/>
    </sheetView>
  </sheetViews>
  <sheetFormatPr defaultRowHeight="14.5" x14ac:dyDescent="0.35"/>
  <sheetData>
    <row r="1" spans="1:1" x14ac:dyDescent="0.35">
      <c r="A1">
        <f>1-_xlfn.NORM.DIST(4.8,5.15,1.8,TRUE)</f>
        <v>0.57708605384356892</v>
      </c>
    </row>
    <row r="2" spans="1:1" x14ac:dyDescent="0.35">
      <c r="A2">
        <f>_xlfn.BINOM.DIST.RANGE(32,1.8/SQRT(32),1,4.7)</f>
        <v>1.1091935867152196E-2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05D6F-F216-46BB-BA45-59209FE4E7F0}">
  <dimension ref="A1:B45"/>
  <sheetViews>
    <sheetView topLeftCell="A29" workbookViewId="0">
      <selection activeCell="B20" sqref="B20"/>
    </sheetView>
  </sheetViews>
  <sheetFormatPr defaultRowHeight="14.5" x14ac:dyDescent="0.35"/>
  <sheetData>
    <row r="1" spans="1:2" x14ac:dyDescent="0.35">
      <c r="A1" s="101" t="s">
        <v>182</v>
      </c>
    </row>
    <row r="2" spans="1:2" x14ac:dyDescent="0.35">
      <c r="A2" s="101" t="s">
        <v>183</v>
      </c>
    </row>
    <row r="3" spans="1:2" x14ac:dyDescent="0.35">
      <c r="A3" t="s">
        <v>184</v>
      </c>
      <c r="B3" t="s">
        <v>185</v>
      </c>
    </row>
    <row r="4" spans="1:2" x14ac:dyDescent="0.35">
      <c r="A4">
        <v>5</v>
      </c>
      <c r="B4">
        <f>8.2-0.36*A4</f>
        <v>6.3999999999999995</v>
      </c>
    </row>
    <row r="5" spans="1:2" x14ac:dyDescent="0.35">
      <c r="B5">
        <f>-0.36*A4 +8.2</f>
        <v>6.3999999999999995</v>
      </c>
    </row>
    <row r="6" spans="1:2" x14ac:dyDescent="0.35">
      <c r="A6" s="103" t="s">
        <v>186</v>
      </c>
    </row>
    <row r="7" spans="1:2" x14ac:dyDescent="0.35">
      <c r="A7" t="s">
        <v>44</v>
      </c>
      <c r="B7" t="s">
        <v>156</v>
      </c>
    </row>
    <row r="8" spans="1:2" x14ac:dyDescent="0.35">
      <c r="A8">
        <v>6</v>
      </c>
      <c r="B8">
        <v>11.86</v>
      </c>
    </row>
    <row r="9" spans="1:2" x14ac:dyDescent="0.35">
      <c r="A9">
        <v>13</v>
      </c>
      <c r="B9">
        <v>16.54</v>
      </c>
    </row>
    <row r="10" spans="1:2" x14ac:dyDescent="0.35">
      <c r="A10">
        <v>4</v>
      </c>
      <c r="B10">
        <v>7.34</v>
      </c>
    </row>
    <row r="11" spans="1:2" x14ac:dyDescent="0.35">
      <c r="A11">
        <v>5</v>
      </c>
      <c r="B11">
        <v>9.7799999999999994</v>
      </c>
    </row>
    <row r="12" spans="1:2" x14ac:dyDescent="0.35">
      <c r="A12">
        <v>3</v>
      </c>
      <c r="B12">
        <v>4.54</v>
      </c>
    </row>
    <row r="13" spans="1:2" x14ac:dyDescent="0.35">
      <c r="A13">
        <v>7</v>
      </c>
      <c r="B13">
        <v>13.6</v>
      </c>
    </row>
    <row r="14" spans="1:2" x14ac:dyDescent="0.35">
      <c r="A14">
        <v>9</v>
      </c>
      <c r="B14">
        <v>16</v>
      </c>
    </row>
    <row r="15" spans="1:2" x14ac:dyDescent="0.35">
      <c r="A15">
        <v>10</v>
      </c>
      <c r="B15">
        <v>16.66</v>
      </c>
    </row>
    <row r="16" spans="1:2" x14ac:dyDescent="0.35">
      <c r="A16">
        <v>12</v>
      </c>
      <c r="B16">
        <v>16.940000000000001</v>
      </c>
    </row>
    <row r="17" spans="1:2" x14ac:dyDescent="0.35">
      <c r="A17">
        <v>11</v>
      </c>
      <c r="B17">
        <v>16.98</v>
      </c>
    </row>
    <row r="18" spans="1:2" x14ac:dyDescent="0.35">
      <c r="A18">
        <v>8</v>
      </c>
      <c r="B18">
        <v>14.98</v>
      </c>
    </row>
    <row r="19" spans="1:2" x14ac:dyDescent="0.35">
      <c r="B19" t="s">
        <v>187</v>
      </c>
    </row>
    <row r="20" spans="1:2" x14ac:dyDescent="0.35">
      <c r="A20" t="s">
        <v>157</v>
      </c>
      <c r="B20">
        <f>CORREL(A8:A18,B8:B18)</f>
        <v>0.92432387697464347</v>
      </c>
    </row>
    <row r="22" spans="1:2" x14ac:dyDescent="0.35">
      <c r="A22" s="103" t="s">
        <v>188</v>
      </c>
    </row>
    <row r="23" spans="1:2" x14ac:dyDescent="0.35">
      <c r="A23" t="s">
        <v>164</v>
      </c>
      <c r="B23" t="s">
        <v>165</v>
      </c>
    </row>
    <row r="24" spans="1:2" x14ac:dyDescent="0.35">
      <c r="A24">
        <v>49</v>
      </c>
      <c r="B24">
        <v>368</v>
      </c>
    </row>
    <row r="25" spans="1:2" x14ac:dyDescent="0.35">
      <c r="A25">
        <v>51</v>
      </c>
      <c r="B25">
        <v>382</v>
      </c>
    </row>
    <row r="26" spans="1:2" x14ac:dyDescent="0.35">
      <c r="A26">
        <v>53</v>
      </c>
      <c r="B26">
        <v>420</v>
      </c>
    </row>
    <row r="27" spans="1:2" x14ac:dyDescent="0.35">
      <c r="A27">
        <v>61</v>
      </c>
      <c r="B27">
        <v>481</v>
      </c>
    </row>
    <row r="28" spans="1:2" x14ac:dyDescent="0.35">
      <c r="A28">
        <v>57</v>
      </c>
      <c r="B28">
        <v>457</v>
      </c>
    </row>
    <row r="29" spans="1:2" x14ac:dyDescent="0.35">
      <c r="A29">
        <v>45</v>
      </c>
      <c r="B29">
        <v>287</v>
      </c>
    </row>
    <row r="30" spans="1:2" x14ac:dyDescent="0.35">
      <c r="A30" s="47">
        <v>50</v>
      </c>
      <c r="B30" s="104">
        <f>11.892*A30-227.14</f>
        <v>367.46000000000004</v>
      </c>
    </row>
    <row r="31" spans="1:2" x14ac:dyDescent="0.35">
      <c r="A31" t="s">
        <v>189</v>
      </c>
    </row>
    <row r="32" spans="1:2" x14ac:dyDescent="0.35">
      <c r="A32" t="s">
        <v>157</v>
      </c>
      <c r="B32">
        <f>CORREL(A24:A29,B24:B29)</f>
        <v>0.9744942227402501</v>
      </c>
    </row>
    <row r="34" spans="1:2" x14ac:dyDescent="0.35">
      <c r="A34" s="103" t="s">
        <v>190</v>
      </c>
    </row>
    <row r="35" spans="1:2" x14ac:dyDescent="0.35">
      <c r="A35" t="s">
        <v>191</v>
      </c>
      <c r="B35" t="s">
        <v>192</v>
      </c>
    </row>
    <row r="36" spans="1:2" x14ac:dyDescent="0.35">
      <c r="A36">
        <v>875</v>
      </c>
      <c r="B36">
        <v>69.900000000000006</v>
      </c>
    </row>
    <row r="37" spans="1:2" x14ac:dyDescent="0.35">
      <c r="A37">
        <v>1067</v>
      </c>
      <c r="B37">
        <v>80</v>
      </c>
    </row>
    <row r="38" spans="1:2" x14ac:dyDescent="0.35">
      <c r="A38">
        <v>1106</v>
      </c>
      <c r="B38">
        <v>85.4</v>
      </c>
    </row>
    <row r="39" spans="1:2" x14ac:dyDescent="0.35">
      <c r="A39">
        <v>1072</v>
      </c>
      <c r="B39">
        <v>80.900000000000006</v>
      </c>
    </row>
    <row r="40" spans="1:2" x14ac:dyDescent="0.35">
      <c r="A40">
        <v>969</v>
      </c>
      <c r="B40">
        <v>74.8</v>
      </c>
    </row>
    <row r="41" spans="1:2" x14ac:dyDescent="0.35">
      <c r="A41">
        <v>1249</v>
      </c>
      <c r="B41">
        <v>88.6</v>
      </c>
    </row>
    <row r="42" spans="1:2" x14ac:dyDescent="0.35">
      <c r="A42">
        <v>3000</v>
      </c>
      <c r="B42" s="8">
        <f>0.0525*A42+24.464</f>
        <v>181.964</v>
      </c>
    </row>
    <row r="43" spans="1:2" x14ac:dyDescent="0.35">
      <c r="A43" t="s">
        <v>193</v>
      </c>
      <c r="B43">
        <f>CORREL(A36:A41,B36:B41)</f>
        <v>0.97588287547773589</v>
      </c>
    </row>
    <row r="44" spans="1:2" x14ac:dyDescent="0.35">
      <c r="A44" t="s">
        <v>194</v>
      </c>
    </row>
    <row r="45" spans="1:2" x14ac:dyDescent="0.35">
      <c r="A45" t="s">
        <v>195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13E8A-BDED-4C73-9939-747B46B9221E}">
  <dimension ref="A1:D10"/>
  <sheetViews>
    <sheetView workbookViewId="0">
      <selection activeCell="D10" sqref="D10"/>
    </sheetView>
  </sheetViews>
  <sheetFormatPr defaultRowHeight="14.5" x14ac:dyDescent="0.35"/>
  <cols>
    <col min="2" max="2" width="18.26953125" bestFit="1" customWidth="1"/>
    <col min="3" max="3" width="8.453125" customWidth="1"/>
    <col min="4" max="4" width="11.81640625" bestFit="1" customWidth="1"/>
  </cols>
  <sheetData>
    <row r="1" spans="1:4" x14ac:dyDescent="0.35">
      <c r="A1" t="s">
        <v>206</v>
      </c>
      <c r="B1" t="s">
        <v>205</v>
      </c>
      <c r="C1" t="s">
        <v>204</v>
      </c>
      <c r="D1" t="s">
        <v>203</v>
      </c>
    </row>
    <row r="2" spans="1:4" x14ac:dyDescent="0.35">
      <c r="A2" t="s">
        <v>202</v>
      </c>
      <c r="B2">
        <v>4</v>
      </c>
      <c r="C2">
        <v>3</v>
      </c>
      <c r="D2">
        <f>B2*C2</f>
        <v>12</v>
      </c>
    </row>
    <row r="3" spans="1:4" x14ac:dyDescent="0.35">
      <c r="A3" t="s">
        <v>202</v>
      </c>
      <c r="B3">
        <v>4</v>
      </c>
      <c r="C3">
        <v>4</v>
      </c>
      <c r="D3">
        <f>B3*C3</f>
        <v>16</v>
      </c>
    </row>
    <row r="4" spans="1:4" x14ac:dyDescent="0.35">
      <c r="A4" t="s">
        <v>201</v>
      </c>
      <c r="B4">
        <v>3</v>
      </c>
      <c r="C4">
        <v>3</v>
      </c>
      <c r="D4">
        <f>B4*C4</f>
        <v>9</v>
      </c>
    </row>
    <row r="5" spans="1:4" x14ac:dyDescent="0.35">
      <c r="A5" t="s">
        <v>200</v>
      </c>
      <c r="B5">
        <v>2</v>
      </c>
      <c r="C5">
        <v>3</v>
      </c>
      <c r="D5">
        <f>B5*C5</f>
        <v>6</v>
      </c>
    </row>
    <row r="6" spans="1:4" x14ac:dyDescent="0.35">
      <c r="A6" t="s">
        <v>199</v>
      </c>
      <c r="B6">
        <v>0</v>
      </c>
      <c r="C6">
        <v>1</v>
      </c>
      <c r="D6">
        <f>B6*C6</f>
        <v>0</v>
      </c>
    </row>
    <row r="8" spans="1:4" x14ac:dyDescent="0.35">
      <c r="B8" t="s">
        <v>198</v>
      </c>
      <c r="C8">
        <f>SUM(D2:D6)</f>
        <v>43</v>
      </c>
    </row>
    <row r="9" spans="1:4" x14ac:dyDescent="0.35">
      <c r="B9" t="s">
        <v>197</v>
      </c>
      <c r="C9">
        <f>SUM(C2:C6)</f>
        <v>14</v>
      </c>
    </row>
    <row r="10" spans="1:4" x14ac:dyDescent="0.35">
      <c r="B10" t="s">
        <v>196</v>
      </c>
      <c r="C10" s="2">
        <f>C8/C9</f>
        <v>3.0714285714285716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E9BFE-F85B-4C77-B667-2197DA1A7121}">
  <dimension ref="A1:I55"/>
  <sheetViews>
    <sheetView workbookViewId="0">
      <selection activeCell="G4" sqref="G4"/>
    </sheetView>
  </sheetViews>
  <sheetFormatPr defaultRowHeight="14.5" x14ac:dyDescent="0.35"/>
  <cols>
    <col min="3" max="3" width="10.1796875" bestFit="1" customWidth="1"/>
    <col min="4" max="4" width="10.90625" customWidth="1"/>
    <col min="6" max="6" width="13.90625" bestFit="1" customWidth="1"/>
    <col min="7" max="7" width="14.7265625" bestFit="1" customWidth="1"/>
    <col min="8" max="8" width="12.08984375" bestFit="1" customWidth="1"/>
  </cols>
  <sheetData>
    <row r="1" spans="1:8" x14ac:dyDescent="0.35">
      <c r="A1" t="s">
        <v>279</v>
      </c>
    </row>
    <row r="2" spans="1:8" x14ac:dyDescent="0.35">
      <c r="A2">
        <v>17.7</v>
      </c>
    </row>
    <row r="3" spans="1:8" x14ac:dyDescent="0.35">
      <c r="A3">
        <v>18.3</v>
      </c>
      <c r="B3" t="s">
        <v>280</v>
      </c>
      <c r="C3" t="s">
        <v>281</v>
      </c>
      <c r="D3" t="s">
        <v>282</v>
      </c>
      <c r="E3" t="s">
        <v>283</v>
      </c>
      <c r="F3" t="s">
        <v>284</v>
      </c>
      <c r="G3" t="s">
        <v>285</v>
      </c>
      <c r="H3" t="s">
        <v>286</v>
      </c>
    </row>
    <row r="4" spans="1:8" x14ac:dyDescent="0.35">
      <c r="A4">
        <v>19.2</v>
      </c>
      <c r="B4">
        <v>5</v>
      </c>
      <c r="C4">
        <f>(A21-A2)/5</f>
        <v>5.4399999999999995</v>
      </c>
      <c r="D4" s="8">
        <v>15</v>
      </c>
      <c r="E4">
        <v>20.9</v>
      </c>
      <c r="F4">
        <f>(D4+E4)/2</f>
        <v>17.95</v>
      </c>
      <c r="G4">
        <v>14.95</v>
      </c>
    </row>
    <row r="5" spans="1:8" x14ac:dyDescent="0.35">
      <c r="A5">
        <v>22.2</v>
      </c>
      <c r="D5" s="8">
        <v>21</v>
      </c>
      <c r="E5">
        <v>26.9</v>
      </c>
      <c r="F5">
        <f>(D5+E5)/2</f>
        <v>23.95</v>
      </c>
      <c r="G5">
        <v>20.95</v>
      </c>
    </row>
    <row r="6" spans="1:8" x14ac:dyDescent="0.35">
      <c r="A6">
        <v>22.7</v>
      </c>
      <c r="D6" s="8">
        <v>27</v>
      </c>
      <c r="E6">
        <v>32.9</v>
      </c>
      <c r="F6">
        <f>(D6+E6)/2</f>
        <v>29.95</v>
      </c>
      <c r="G6">
        <v>26.95</v>
      </c>
    </row>
    <row r="7" spans="1:8" x14ac:dyDescent="0.35">
      <c r="A7">
        <v>23.3</v>
      </c>
      <c r="D7" s="8">
        <v>33</v>
      </c>
      <c r="E7">
        <v>38.9</v>
      </c>
      <c r="F7">
        <f>(D7+E7)/2</f>
        <v>35.950000000000003</v>
      </c>
      <c r="G7">
        <v>32.950000000000003</v>
      </c>
    </row>
    <row r="8" spans="1:8" x14ac:dyDescent="0.35">
      <c r="A8">
        <v>24.1</v>
      </c>
      <c r="D8" s="8">
        <v>39</v>
      </c>
      <c r="E8">
        <v>44.9</v>
      </c>
      <c r="F8">
        <f>(D8+E8)/2</f>
        <v>41.95</v>
      </c>
      <c r="G8">
        <v>38.950000000000003</v>
      </c>
    </row>
    <row r="9" spans="1:8" x14ac:dyDescent="0.35">
      <c r="A9">
        <v>24.1</v>
      </c>
      <c r="G9">
        <v>44.95</v>
      </c>
    </row>
    <row r="10" spans="1:8" x14ac:dyDescent="0.35">
      <c r="A10">
        <v>24.8</v>
      </c>
    </row>
    <row r="11" spans="1:8" x14ac:dyDescent="0.35">
      <c r="A11">
        <v>25.8</v>
      </c>
    </row>
    <row r="12" spans="1:8" ht="101.5" x14ac:dyDescent="0.35">
      <c r="A12">
        <v>26.2</v>
      </c>
      <c r="D12" s="121" t="s">
        <v>287</v>
      </c>
    </row>
    <row r="13" spans="1:8" ht="15" thickBot="1" x14ac:dyDescent="0.4">
      <c r="A13">
        <v>27.5</v>
      </c>
    </row>
    <row r="14" spans="1:8" x14ac:dyDescent="0.35">
      <c r="A14">
        <v>27.5</v>
      </c>
      <c r="D14" s="122" t="s">
        <v>288</v>
      </c>
      <c r="E14" s="122" t="s">
        <v>289</v>
      </c>
    </row>
    <row r="15" spans="1:8" x14ac:dyDescent="0.35">
      <c r="A15">
        <v>28.3</v>
      </c>
      <c r="D15">
        <v>20.9</v>
      </c>
      <c r="E15">
        <v>3</v>
      </c>
    </row>
    <row r="16" spans="1:8" x14ac:dyDescent="0.35">
      <c r="A16">
        <v>28.3</v>
      </c>
      <c r="D16">
        <v>26.9</v>
      </c>
      <c r="E16">
        <v>8</v>
      </c>
    </row>
    <row r="17" spans="1:9" x14ac:dyDescent="0.35">
      <c r="A17">
        <v>31.3</v>
      </c>
      <c r="D17">
        <v>32.9</v>
      </c>
      <c r="E17">
        <v>5</v>
      </c>
    </row>
    <row r="18" spans="1:9" x14ac:dyDescent="0.35">
      <c r="A18">
        <v>33.5</v>
      </c>
      <c r="D18">
        <v>38.9</v>
      </c>
      <c r="E18">
        <v>2</v>
      </c>
    </row>
    <row r="19" spans="1:9" x14ac:dyDescent="0.35">
      <c r="A19">
        <v>37.700000000000003</v>
      </c>
      <c r="D19">
        <v>44.9</v>
      </c>
      <c r="E19">
        <v>2</v>
      </c>
    </row>
    <row r="20" spans="1:9" ht="15" thickBot="1" x14ac:dyDescent="0.4">
      <c r="A20">
        <v>39.1</v>
      </c>
      <c r="D20" s="88" t="s">
        <v>290</v>
      </c>
      <c r="E20" s="88">
        <v>0</v>
      </c>
    </row>
    <row r="21" spans="1:9" x14ac:dyDescent="0.35">
      <c r="A21">
        <v>44.9</v>
      </c>
    </row>
    <row r="24" spans="1:9" x14ac:dyDescent="0.35">
      <c r="A24" s="2">
        <v>1.4710000000000001</v>
      </c>
      <c r="B24" s="2">
        <v>1.4710000000000001</v>
      </c>
    </row>
    <row r="25" spans="1:9" x14ac:dyDescent="0.35">
      <c r="A25" s="2">
        <v>1.4710000000000001</v>
      </c>
      <c r="B25" s="2">
        <v>1.4710000000000001</v>
      </c>
      <c r="C25" t="s">
        <v>291</v>
      </c>
      <c r="D25" t="s">
        <v>292</v>
      </c>
      <c r="E25" t="s">
        <v>282</v>
      </c>
      <c r="F25" t="s">
        <v>283</v>
      </c>
      <c r="G25" t="s">
        <v>293</v>
      </c>
      <c r="H25" t="s">
        <v>294</v>
      </c>
      <c r="I25" t="s">
        <v>286</v>
      </c>
    </row>
    <row r="26" spans="1:9" x14ac:dyDescent="0.35">
      <c r="A26" s="2">
        <v>1.4730000000000001</v>
      </c>
      <c r="B26" s="2">
        <v>1.4730000000000001</v>
      </c>
      <c r="C26">
        <v>5</v>
      </c>
      <c r="D26" s="2">
        <v>0.01</v>
      </c>
      <c r="E26" s="2">
        <v>1.47</v>
      </c>
      <c r="F26" s="2">
        <v>1.4790000000000001</v>
      </c>
    </row>
    <row r="27" spans="1:9" x14ac:dyDescent="0.35">
      <c r="A27" s="2">
        <v>1.4730000000000001</v>
      </c>
      <c r="B27" s="2">
        <v>1.4730000000000001</v>
      </c>
      <c r="D27" s="2"/>
      <c r="E27" s="2">
        <f>E26+D26</f>
        <v>1.48</v>
      </c>
      <c r="F27">
        <v>1.4890000000000001</v>
      </c>
    </row>
    <row r="28" spans="1:9" x14ac:dyDescent="0.35">
      <c r="A28" s="2">
        <v>1.4810000000000001</v>
      </c>
      <c r="B28" s="2">
        <v>1.4810000000000001</v>
      </c>
      <c r="D28" s="2"/>
      <c r="E28" s="2">
        <f>E27+D26</f>
        <v>1.49</v>
      </c>
      <c r="F28">
        <v>1.4990000000000001</v>
      </c>
    </row>
    <row r="29" spans="1:9" x14ac:dyDescent="0.35">
      <c r="A29" s="2">
        <v>1.4810000000000001</v>
      </c>
      <c r="B29" s="2">
        <v>1.4810000000000001</v>
      </c>
      <c r="D29" s="2"/>
      <c r="E29" s="2">
        <f>E28+D26</f>
        <v>1.5</v>
      </c>
      <c r="F29">
        <v>1.5089999999999999</v>
      </c>
    </row>
    <row r="30" spans="1:9" x14ac:dyDescent="0.35">
      <c r="A30" s="2">
        <v>1.482</v>
      </c>
      <c r="B30" s="2">
        <v>1.482</v>
      </c>
      <c r="D30" s="2"/>
      <c r="E30" s="2">
        <f>E29+D26</f>
        <v>1.51</v>
      </c>
      <c r="F30">
        <v>1.5189999999999999</v>
      </c>
    </row>
    <row r="31" spans="1:9" x14ac:dyDescent="0.35">
      <c r="A31" s="2">
        <v>1.4890000000000001</v>
      </c>
      <c r="B31" s="2">
        <v>1.4890000000000001</v>
      </c>
      <c r="D31" s="2"/>
    </row>
    <row r="32" spans="1:9" ht="15" thickBot="1" x14ac:dyDescent="0.4">
      <c r="A32" s="2">
        <v>1.4910000000000001</v>
      </c>
      <c r="B32" s="2">
        <v>1.4910000000000001</v>
      </c>
    </row>
    <row r="33" spans="1:6" x14ac:dyDescent="0.35">
      <c r="A33" s="2">
        <v>1.4910000000000001</v>
      </c>
      <c r="B33" s="2">
        <v>1.4910000000000001</v>
      </c>
      <c r="D33" s="122" t="s">
        <v>295</v>
      </c>
      <c r="E33" s="122" t="s">
        <v>289</v>
      </c>
    </row>
    <row r="34" spans="1:6" x14ac:dyDescent="0.35">
      <c r="A34" s="2">
        <v>1.4910000000000001</v>
      </c>
      <c r="B34" s="2">
        <v>1.4910000000000001</v>
      </c>
      <c r="D34" s="2">
        <v>1.47</v>
      </c>
      <c r="E34">
        <v>4</v>
      </c>
    </row>
    <row r="35" spans="1:6" x14ac:dyDescent="0.35">
      <c r="A35" s="2">
        <v>1.492</v>
      </c>
      <c r="B35" s="2">
        <v>1.492</v>
      </c>
      <c r="D35" s="2">
        <v>1.48</v>
      </c>
      <c r="E35">
        <v>5</v>
      </c>
    </row>
    <row r="36" spans="1:6" x14ac:dyDescent="0.35">
      <c r="A36" s="2">
        <v>1.492</v>
      </c>
      <c r="B36" s="2">
        <v>1.492</v>
      </c>
      <c r="D36" s="2">
        <v>1.49</v>
      </c>
      <c r="E36">
        <v>10</v>
      </c>
    </row>
    <row r="37" spans="1:6" x14ac:dyDescent="0.35">
      <c r="A37" s="2">
        <v>1.492</v>
      </c>
      <c r="B37" s="2">
        <v>1.492</v>
      </c>
      <c r="D37" s="2">
        <v>1.5</v>
      </c>
      <c r="E37">
        <v>11</v>
      </c>
    </row>
    <row r="38" spans="1:6" ht="15" thickBot="1" x14ac:dyDescent="0.4">
      <c r="A38" s="2">
        <v>1.494</v>
      </c>
      <c r="B38" s="2">
        <v>1.494</v>
      </c>
      <c r="D38" s="2">
        <v>1.51</v>
      </c>
      <c r="E38" s="88">
        <v>2</v>
      </c>
    </row>
    <row r="39" spans="1:6" ht="15" thickBot="1" x14ac:dyDescent="0.4">
      <c r="A39" s="2">
        <v>1.494</v>
      </c>
      <c r="B39" s="2">
        <v>1.494</v>
      </c>
      <c r="D39" s="88" t="s">
        <v>290</v>
      </c>
    </row>
    <row r="40" spans="1:6" x14ac:dyDescent="0.35">
      <c r="A40" s="2">
        <v>1.4950000000000001</v>
      </c>
      <c r="B40" s="2">
        <v>1.4950000000000001</v>
      </c>
    </row>
    <row r="41" spans="1:6" x14ac:dyDescent="0.35">
      <c r="A41" s="2">
        <v>1.4990000000000001</v>
      </c>
      <c r="B41" s="2">
        <v>1.4990000000000001</v>
      </c>
    </row>
    <row r="42" spans="1:6" x14ac:dyDescent="0.35">
      <c r="A42" s="2">
        <v>1.5009999999999999</v>
      </c>
      <c r="B42" s="2">
        <v>1.5009999999999999</v>
      </c>
    </row>
    <row r="43" spans="1:6" x14ac:dyDescent="0.35">
      <c r="A43" s="2">
        <v>1.5009999999999999</v>
      </c>
      <c r="B43" s="2">
        <v>1.5009999999999999</v>
      </c>
    </row>
    <row r="44" spans="1:6" x14ac:dyDescent="0.35">
      <c r="A44" s="2">
        <v>1.5009999999999999</v>
      </c>
      <c r="B44" s="2">
        <v>1.5009999999999999</v>
      </c>
      <c r="D44" t="s">
        <v>296</v>
      </c>
      <c r="E44" t="s">
        <v>282</v>
      </c>
      <c r="F44" t="s">
        <v>283</v>
      </c>
    </row>
    <row r="45" spans="1:6" x14ac:dyDescent="0.35">
      <c r="A45" s="2">
        <v>1.502</v>
      </c>
      <c r="B45" s="2">
        <v>1.502</v>
      </c>
      <c r="D45">
        <v>0.01</v>
      </c>
      <c r="E45" s="2">
        <v>1.47</v>
      </c>
      <c r="F45" s="2">
        <v>1.4790000000000001</v>
      </c>
    </row>
    <row r="46" spans="1:6" x14ac:dyDescent="0.35">
      <c r="A46" s="2">
        <v>1.504</v>
      </c>
      <c r="B46" s="2">
        <v>1.504</v>
      </c>
      <c r="E46" s="2">
        <f>E45+D45</f>
        <v>1.48</v>
      </c>
      <c r="F46">
        <v>1.4890000000000001</v>
      </c>
    </row>
    <row r="47" spans="1:6" x14ac:dyDescent="0.35">
      <c r="A47" s="2">
        <v>1.504</v>
      </c>
      <c r="B47" s="2">
        <v>1.504</v>
      </c>
      <c r="E47" s="2">
        <f>E46+D45</f>
        <v>1.49</v>
      </c>
      <c r="F47">
        <v>1.4990000000000001</v>
      </c>
    </row>
    <row r="48" spans="1:6" x14ac:dyDescent="0.35">
      <c r="A48" s="2">
        <v>1.5049999999999999</v>
      </c>
      <c r="B48" s="2">
        <v>1.5049999999999999</v>
      </c>
      <c r="E48" s="2">
        <f>E47+D45</f>
        <v>1.5</v>
      </c>
      <c r="F48">
        <v>1.5089999999999999</v>
      </c>
    </row>
    <row r="49" spans="1:6" ht="15" thickBot="1" x14ac:dyDescent="0.4">
      <c r="A49" s="2">
        <v>1.506</v>
      </c>
      <c r="B49" s="2">
        <v>1.506</v>
      </c>
      <c r="E49" s="2">
        <f>E48+D45</f>
        <v>1.51</v>
      </c>
      <c r="F49">
        <v>1.5189999999999999</v>
      </c>
    </row>
    <row r="50" spans="1:6" x14ac:dyDescent="0.35">
      <c r="A50" s="2">
        <v>1.5069999999999999</v>
      </c>
      <c r="B50" s="2">
        <v>1.5069999999999999</v>
      </c>
      <c r="D50" s="122" t="s">
        <v>297</v>
      </c>
      <c r="E50" s="122" t="s">
        <v>289</v>
      </c>
    </row>
    <row r="51" spans="1:6" x14ac:dyDescent="0.35">
      <c r="A51" s="2">
        <v>1.5089999999999999</v>
      </c>
      <c r="B51" s="2">
        <v>1.5089999999999999</v>
      </c>
      <c r="D51" s="2">
        <v>1.48</v>
      </c>
      <c r="E51">
        <v>8</v>
      </c>
    </row>
    <row r="52" spans="1:6" x14ac:dyDescent="0.35">
      <c r="A52" s="2">
        <v>1.5129999999999999</v>
      </c>
      <c r="B52" s="2">
        <v>1.5129999999999999</v>
      </c>
      <c r="D52" s="2">
        <v>1.49</v>
      </c>
      <c r="E52">
        <v>8</v>
      </c>
    </row>
    <row r="53" spans="1:6" x14ac:dyDescent="0.35">
      <c r="A53" s="2">
        <v>1.514</v>
      </c>
      <c r="B53" s="2">
        <v>1.514</v>
      </c>
      <c r="D53" s="2">
        <v>1.5</v>
      </c>
      <c r="E53">
        <v>20</v>
      </c>
    </row>
    <row r="54" spans="1:6" x14ac:dyDescent="0.35">
      <c r="B54" s="2"/>
      <c r="D54" s="2">
        <v>1.51</v>
      </c>
      <c r="E54">
        <v>20</v>
      </c>
    </row>
    <row r="55" spans="1:6" ht="15" thickBot="1" x14ac:dyDescent="0.4">
      <c r="B55" s="2"/>
      <c r="D55" s="88" t="s">
        <v>290</v>
      </c>
      <c r="E55" s="88">
        <v>4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3372E-20C7-4223-832B-0574A39ABB2C}">
  <dimension ref="A1:Q104"/>
  <sheetViews>
    <sheetView workbookViewId="0">
      <selection activeCell="C54" sqref="C54"/>
    </sheetView>
  </sheetViews>
  <sheetFormatPr defaultRowHeight="14.5" x14ac:dyDescent="0.35"/>
  <cols>
    <col min="4" max="4" width="12.54296875" customWidth="1"/>
    <col min="5" max="5" width="14.453125" bestFit="1" customWidth="1"/>
    <col min="6" max="7" width="11.81640625" bestFit="1" customWidth="1"/>
  </cols>
  <sheetData>
    <row r="1" spans="1:17" x14ac:dyDescent="0.35">
      <c r="A1" t="s">
        <v>44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K1" t="s">
        <v>44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</row>
    <row r="2" spans="1:17" x14ac:dyDescent="0.35">
      <c r="A2">
        <v>0</v>
      </c>
      <c r="B2">
        <v>8.6999999999999994E-2</v>
      </c>
      <c r="C2">
        <f>A2*B2</f>
        <v>0</v>
      </c>
      <c r="E2">
        <f>(A2-D$5)^2*B2</f>
        <v>0.23143400699999991</v>
      </c>
      <c r="F2">
        <f>SUM(E2:E5)</f>
        <v>0.710839</v>
      </c>
      <c r="G2" s="104">
        <f>SQRT(F2)</f>
        <v>0.84311268523252569</v>
      </c>
      <c r="K2">
        <v>0</v>
      </c>
      <c r="L2">
        <v>0.25</v>
      </c>
      <c r="M2">
        <f>K2*L2</f>
        <v>0</v>
      </c>
      <c r="O2">
        <f>(K2-N$5)^2*L2</f>
        <v>0.25</v>
      </c>
      <c r="P2">
        <f>SUM(O2:O5)</f>
        <v>0.5</v>
      </c>
      <c r="Q2">
        <f>SQRT(P2)</f>
        <v>0.70710678118654757</v>
      </c>
    </row>
    <row r="3" spans="1:17" x14ac:dyDescent="0.35">
      <c r="A3">
        <v>1</v>
      </c>
      <c r="B3">
        <v>0.34699999999999998</v>
      </c>
      <c r="C3">
        <f>A3*B3</f>
        <v>0.34699999999999998</v>
      </c>
      <c r="E3">
        <f t="shared" ref="E3:E5" si="0">(A3-D$5)^2*B3</f>
        <v>0.13816186699999988</v>
      </c>
      <c r="K3">
        <v>1</v>
      </c>
      <c r="L3">
        <v>0.5</v>
      </c>
      <c r="M3">
        <f>K3*L3</f>
        <v>0.5</v>
      </c>
      <c r="O3">
        <f t="shared" ref="O3:O5" si="1">(K3-N$5)^2*L3</f>
        <v>0</v>
      </c>
    </row>
    <row r="4" spans="1:17" x14ac:dyDescent="0.35">
      <c r="A4">
        <v>2</v>
      </c>
      <c r="B4">
        <v>0.41399999999999998</v>
      </c>
      <c r="C4">
        <f>A4*B4</f>
        <v>0.82799999999999996</v>
      </c>
      <c r="E4">
        <f t="shared" si="0"/>
        <v>5.6370654000000069E-2</v>
      </c>
      <c r="K4">
        <v>2</v>
      </c>
      <c r="L4">
        <v>0.25</v>
      </c>
      <c r="M4">
        <f>K4*L4</f>
        <v>0.5</v>
      </c>
      <c r="O4">
        <f t="shared" si="1"/>
        <v>0.25</v>
      </c>
    </row>
    <row r="5" spans="1:17" x14ac:dyDescent="0.35">
      <c r="A5">
        <v>3</v>
      </c>
      <c r="B5">
        <v>0.152</v>
      </c>
      <c r="C5">
        <f t="shared" ref="C5:C6" si="2">A5*B5</f>
        <v>0.45599999999999996</v>
      </c>
      <c r="D5" s="104">
        <f>SUM(C2:C5)</f>
        <v>1.6309999999999998</v>
      </c>
      <c r="E5">
        <f t="shared" si="0"/>
        <v>0.2848724720000001</v>
      </c>
      <c r="F5">
        <f>SUM(E2:E5)</f>
        <v>0.710839</v>
      </c>
      <c r="G5">
        <f>SQRT(F5)</f>
        <v>0.84311268523252569</v>
      </c>
      <c r="K5">
        <v>3</v>
      </c>
      <c r="M5">
        <f t="shared" ref="M5" si="3">K5*L5</f>
        <v>0</v>
      </c>
      <c r="N5" s="3">
        <f>SUM(M2:M5)</f>
        <v>1</v>
      </c>
      <c r="O5">
        <f t="shared" si="1"/>
        <v>0</v>
      </c>
      <c r="P5">
        <f>SUM(O2:O5)</f>
        <v>0.5</v>
      </c>
      <c r="Q5">
        <f>SQRT(P5)</f>
        <v>0.70710678118654757</v>
      </c>
    </row>
    <row r="6" spans="1:17" x14ac:dyDescent="0.35">
      <c r="A6">
        <v>4</v>
      </c>
      <c r="C6">
        <f t="shared" si="2"/>
        <v>0</v>
      </c>
      <c r="D6">
        <f>SUM(C2:C5)</f>
        <v>1.6309999999999998</v>
      </c>
    </row>
    <row r="7" spans="1:17" x14ac:dyDescent="0.35">
      <c r="A7" s="105"/>
      <c r="B7" s="105"/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5"/>
    </row>
    <row r="8" spans="1:17" x14ac:dyDescent="0.35">
      <c r="A8" t="s">
        <v>207</v>
      </c>
      <c r="B8" t="s">
        <v>208</v>
      </c>
      <c r="C8" s="3" t="s">
        <v>209</v>
      </c>
      <c r="D8" t="s">
        <v>210</v>
      </c>
      <c r="E8" t="s">
        <v>211</v>
      </c>
      <c r="F8" s="45"/>
      <c r="G8" s="46"/>
      <c r="H8" s="46"/>
      <c r="I8" s="46"/>
    </row>
    <row r="9" spans="1:17" x14ac:dyDescent="0.35">
      <c r="A9">
        <v>15</v>
      </c>
      <c r="B9" s="3">
        <v>-1.58</v>
      </c>
      <c r="C9" s="2">
        <f>$B$16/38</f>
        <v>0.13157894736842105</v>
      </c>
      <c r="D9" s="3">
        <f>$B$17/38</f>
        <v>0.86842105263157898</v>
      </c>
      <c r="E9" s="3">
        <f>B9</f>
        <v>-1.58</v>
      </c>
    </row>
    <row r="10" spans="1:17" x14ac:dyDescent="0.35">
      <c r="A10">
        <v>75</v>
      </c>
      <c r="B10" s="3">
        <v>-15</v>
      </c>
      <c r="C10" s="2">
        <f t="shared" ref="C10:C14" si="4">$B$16/38</f>
        <v>0.13157894736842105</v>
      </c>
      <c r="D10" s="3">
        <f t="shared" ref="D10:D14" si="5">$B$17/38</f>
        <v>0.86842105263157898</v>
      </c>
      <c r="E10" s="3">
        <f>(A10*C10)+(B10*D10)</f>
        <v>-3.1578947368421062</v>
      </c>
    </row>
    <row r="11" spans="1:17" x14ac:dyDescent="0.35">
      <c r="A11" t="s">
        <v>212</v>
      </c>
      <c r="B11" s="3">
        <v>15</v>
      </c>
      <c r="C11" s="2">
        <f>5/38</f>
        <v>0.13157894736842105</v>
      </c>
      <c r="D11" s="3">
        <f>33/38</f>
        <v>0.86842105263157898</v>
      </c>
      <c r="E11" s="3">
        <f>A10*C11-B11*D11</f>
        <v>-3.1578947368421062</v>
      </c>
    </row>
    <row r="12" spans="1:17" x14ac:dyDescent="0.35">
      <c r="B12" s="3"/>
      <c r="C12" s="2">
        <f t="shared" si="4"/>
        <v>0.13157894736842105</v>
      </c>
      <c r="D12" s="3">
        <f t="shared" si="5"/>
        <v>0.86842105263157898</v>
      </c>
      <c r="F12" s="100" t="s">
        <v>213</v>
      </c>
    </row>
    <row r="13" spans="1:17" x14ac:dyDescent="0.35">
      <c r="B13" s="3"/>
      <c r="C13" s="2">
        <f t="shared" si="4"/>
        <v>0.13157894736842105</v>
      </c>
      <c r="D13" s="3">
        <f t="shared" si="5"/>
        <v>0.86842105263157898</v>
      </c>
      <c r="F13" t="s">
        <v>214</v>
      </c>
    </row>
    <row r="14" spans="1:17" x14ac:dyDescent="0.35">
      <c r="B14" s="3"/>
      <c r="C14" s="2">
        <f t="shared" si="4"/>
        <v>0.13157894736842105</v>
      </c>
      <c r="D14" s="3">
        <f t="shared" si="5"/>
        <v>0.86842105263157898</v>
      </c>
    </row>
    <row r="15" spans="1:17" x14ac:dyDescent="0.35">
      <c r="B15" s="3"/>
    </row>
    <row r="16" spans="1:17" x14ac:dyDescent="0.35">
      <c r="A16" t="s">
        <v>215</v>
      </c>
      <c r="B16" s="106">
        <v>5</v>
      </c>
      <c r="F16" t="s">
        <v>216</v>
      </c>
    </row>
    <row r="17" spans="1:10" x14ac:dyDescent="0.35">
      <c r="A17" t="s">
        <v>217</v>
      </c>
      <c r="B17" s="106">
        <v>33</v>
      </c>
      <c r="F17">
        <v>38</v>
      </c>
    </row>
    <row r="18" spans="1:10" x14ac:dyDescent="0.35">
      <c r="B18" s="3"/>
      <c r="F18" s="107">
        <f>B9</f>
        <v>-1.58</v>
      </c>
      <c r="G18" t="s">
        <v>218</v>
      </c>
    </row>
    <row r="19" spans="1:10" x14ac:dyDescent="0.35">
      <c r="A19" t="s">
        <v>219</v>
      </c>
      <c r="B19" s="3"/>
      <c r="F19" s="107">
        <f>E10</f>
        <v>-3.1578947368421062</v>
      </c>
      <c r="G19" t="s">
        <v>219</v>
      </c>
    </row>
    <row r="20" spans="1:10" x14ac:dyDescent="0.35">
      <c r="A20" s="105"/>
      <c r="B20" s="105"/>
      <c r="C20" s="105"/>
      <c r="D20" s="105"/>
      <c r="E20" s="105"/>
      <c r="F20" s="105"/>
      <c r="G20" s="105"/>
      <c r="H20" s="105"/>
    </row>
    <row r="21" spans="1:10" x14ac:dyDescent="0.35">
      <c r="A21" t="s">
        <v>220</v>
      </c>
      <c r="F21" t="s">
        <v>55</v>
      </c>
    </row>
    <row r="22" spans="1:10" x14ac:dyDescent="0.35">
      <c r="A22" t="s">
        <v>6</v>
      </c>
      <c r="B22">
        <v>7</v>
      </c>
      <c r="E22" t="s">
        <v>221</v>
      </c>
      <c r="F22">
        <f>SUM(B23*B24)</f>
        <v>3.15</v>
      </c>
      <c r="H22" t="s">
        <v>6</v>
      </c>
      <c r="I22">
        <v>5000</v>
      </c>
    </row>
    <row r="23" spans="1:10" x14ac:dyDescent="0.35">
      <c r="A23" t="s">
        <v>44</v>
      </c>
      <c r="B23">
        <v>5</v>
      </c>
      <c r="D23" t="s">
        <v>222</v>
      </c>
      <c r="E23" s="37">
        <f>_xlfn.BINOM.DIST(B23,B22,B24,FALSE)</f>
        <v>0.28531558174707006</v>
      </c>
      <c r="H23" t="s">
        <v>44</v>
      </c>
      <c r="I23">
        <v>56</v>
      </c>
    </row>
    <row r="24" spans="1:10" x14ac:dyDescent="0.35">
      <c r="A24" t="s">
        <v>54</v>
      </c>
      <c r="B24">
        <v>0.63</v>
      </c>
      <c r="H24" t="s">
        <v>0</v>
      </c>
      <c r="I24">
        <v>0.03</v>
      </c>
    </row>
    <row r="25" spans="1:10" x14ac:dyDescent="0.35">
      <c r="A25" t="s">
        <v>1</v>
      </c>
      <c r="B25">
        <f>1-B24</f>
        <v>0.37</v>
      </c>
      <c r="H25" t="s">
        <v>1</v>
      </c>
      <c r="I25">
        <f>1-I24</f>
        <v>0.97</v>
      </c>
    </row>
    <row r="26" spans="1:10" x14ac:dyDescent="0.35">
      <c r="A26" s="105"/>
      <c r="B26" s="105"/>
      <c r="C26" s="105"/>
      <c r="D26" s="105"/>
      <c r="E26" s="105"/>
      <c r="F26" s="105"/>
      <c r="G26" s="105"/>
      <c r="H26" s="105"/>
      <c r="I26" s="105"/>
    </row>
    <row r="27" spans="1:10" x14ac:dyDescent="0.35">
      <c r="A27" s="28" t="s">
        <v>223</v>
      </c>
      <c r="B27" s="28"/>
      <c r="C27" s="28"/>
      <c r="D27" s="28"/>
      <c r="E27" s="28"/>
      <c r="F27" s="28"/>
      <c r="G27" s="28"/>
      <c r="H27" s="28"/>
      <c r="I27" s="28"/>
      <c r="J27" s="28"/>
    </row>
    <row r="28" spans="1:10" x14ac:dyDescent="0.35">
      <c r="A28" t="s">
        <v>224</v>
      </c>
      <c r="E28" t="s">
        <v>225</v>
      </c>
      <c r="H28" t="s">
        <v>226</v>
      </c>
      <c r="I28" s="3">
        <f>SUM(I23*I24)</f>
        <v>1.68</v>
      </c>
    </row>
    <row r="29" spans="1:10" x14ac:dyDescent="0.35">
      <c r="A29" t="s">
        <v>227</v>
      </c>
      <c r="B29">
        <v>30</v>
      </c>
      <c r="C29">
        <f>B29*B31</f>
        <v>11.4</v>
      </c>
      <c r="E29" s="1">
        <f>((FACT(B29))/(((FACT(B29-B30))* FACT( B30)))*(B31^B30)*B32^(B29-B30))</f>
        <v>1.5505995682318558E-5</v>
      </c>
      <c r="H29" t="s">
        <v>228</v>
      </c>
      <c r="I29">
        <f>I22*I24*I25</f>
        <v>145.5</v>
      </c>
    </row>
    <row r="30" spans="1:10" x14ac:dyDescent="0.35">
      <c r="A30" t="s">
        <v>229</v>
      </c>
      <c r="B30">
        <v>23</v>
      </c>
      <c r="E30" s="1">
        <f>_xlfn.BINOM.DIST(B30,B29,B31,TRUE)</f>
        <v>0.99999676763541601</v>
      </c>
      <c r="H30" t="s">
        <v>230</v>
      </c>
      <c r="I30" s="1">
        <f>SQRT(I22*I24*I25)</f>
        <v>12.062338081814818</v>
      </c>
    </row>
    <row r="31" spans="1:10" x14ac:dyDescent="0.35">
      <c r="A31" t="s">
        <v>0</v>
      </c>
      <c r="B31">
        <v>0.38</v>
      </c>
      <c r="E31" s="1">
        <f>_xlfn.BINOM.DIST(B30,B29,B31,FALSE)</f>
        <v>1.5505995682318504E-5</v>
      </c>
      <c r="H31" s="45" t="s">
        <v>231</v>
      </c>
      <c r="I31" s="2">
        <f>I28-2*I30</f>
        <v>-22.444676163629637</v>
      </c>
    </row>
    <row r="32" spans="1:10" x14ac:dyDescent="0.35">
      <c r="A32" t="s">
        <v>232</v>
      </c>
      <c r="B32">
        <f>1-B31</f>
        <v>0.62</v>
      </c>
      <c r="H32" s="45" t="s">
        <v>233</v>
      </c>
      <c r="I32" s="2">
        <f>I28+2*I30</f>
        <v>25.804676163629637</v>
      </c>
    </row>
    <row r="33" spans="1:16" x14ac:dyDescent="0.35">
      <c r="A33" s="105"/>
      <c r="B33" s="105"/>
      <c r="C33" s="105"/>
      <c r="D33" s="105"/>
      <c r="E33" s="105"/>
      <c r="F33" s="105"/>
      <c r="G33" s="105"/>
      <c r="H33" s="105"/>
      <c r="J33" s="105"/>
    </row>
    <row r="34" spans="1:16" x14ac:dyDescent="0.35">
      <c r="A34" s="28" t="s">
        <v>223</v>
      </c>
      <c r="B34" s="28"/>
      <c r="C34" s="28"/>
      <c r="D34" s="28"/>
      <c r="E34" s="28"/>
      <c r="F34" s="28"/>
      <c r="G34" s="28"/>
      <c r="H34" s="28"/>
      <c r="I34" s="28"/>
      <c r="J34" s="28"/>
    </row>
    <row r="35" spans="1:16" x14ac:dyDescent="0.35">
      <c r="A35" t="s">
        <v>224</v>
      </c>
      <c r="E35" t="s">
        <v>225</v>
      </c>
      <c r="I35">
        <f>SQRT(I29)</f>
        <v>12.062338081814818</v>
      </c>
    </row>
    <row r="36" spans="1:16" x14ac:dyDescent="0.35">
      <c r="A36" t="s">
        <v>227</v>
      </c>
      <c r="B36">
        <v>11</v>
      </c>
      <c r="C36">
        <f>B36*B38</f>
        <v>4.07</v>
      </c>
      <c r="E36" s="1" t="e">
        <f>((FACT(B36))/(((FACT(B36-B37))* FACT( B37)))*(B38^B37)*B39^(B36-B37))</f>
        <v>#NUM!</v>
      </c>
    </row>
    <row r="37" spans="1:16" x14ac:dyDescent="0.35">
      <c r="A37" t="s">
        <v>229</v>
      </c>
      <c r="B37">
        <v>22</v>
      </c>
      <c r="E37" s="1" t="e">
        <f>_xlfn.BINOM.DIST(B37,B36,B38,TRUE)</f>
        <v>#NUM!</v>
      </c>
    </row>
    <row r="38" spans="1:16" x14ac:dyDescent="0.35">
      <c r="A38" t="s">
        <v>0</v>
      </c>
      <c r="B38">
        <v>0.37</v>
      </c>
      <c r="E38" s="1" t="e">
        <f>_xlfn.BINOM.DIST(B37,B36,B38,FALSE)</f>
        <v>#NUM!</v>
      </c>
    </row>
    <row r="39" spans="1:16" x14ac:dyDescent="0.35">
      <c r="A39" t="s">
        <v>232</v>
      </c>
      <c r="B39">
        <f>1-B38</f>
        <v>0.63</v>
      </c>
    </row>
    <row r="40" spans="1:16" x14ac:dyDescent="0.35">
      <c r="A40" s="105" cm="1">
        <f t="array" aca="1" ref="A40" ca="1">1+A40:K40-B38</f>
        <v>0</v>
      </c>
      <c r="B40" s="105"/>
      <c r="C40" s="105"/>
      <c r="D40" s="105"/>
      <c r="E40" s="105"/>
      <c r="F40" s="105"/>
      <c r="G40" s="105"/>
      <c r="H40" s="105"/>
      <c r="I40" s="105"/>
      <c r="J40" s="105"/>
      <c r="K40" s="105"/>
    </row>
    <row r="41" spans="1:16" x14ac:dyDescent="0.35">
      <c r="A41" s="28" t="s">
        <v>234</v>
      </c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</row>
    <row r="42" spans="1:16" x14ac:dyDescent="0.35">
      <c r="A42" t="s">
        <v>6</v>
      </c>
      <c r="B42">
        <v>14</v>
      </c>
      <c r="E42">
        <f>((FACT(B42))/(((FACT(B42-B43))* FACT( B43)))*(B44^B43)*B45^(B42-B43))</f>
        <v>6.8694213980777102E-2</v>
      </c>
      <c r="F42">
        <f>_xlfn.BINOM.DIST(B43,B42,B44,FALSE)</f>
        <v>6.8694213980777144E-2</v>
      </c>
      <c r="G42" s="28"/>
      <c r="H42" s="28"/>
      <c r="I42" s="28"/>
      <c r="J42" s="28"/>
      <c r="K42" s="28"/>
      <c r="L42" s="28"/>
      <c r="M42" s="28"/>
      <c r="N42" s="28"/>
      <c r="O42" s="28"/>
      <c r="P42" s="28"/>
    </row>
    <row r="43" spans="1:16" x14ac:dyDescent="0.35">
      <c r="A43" t="s">
        <v>44</v>
      </c>
      <c r="B43">
        <v>4</v>
      </c>
      <c r="D43" s="1">
        <f>SUM(B47:B51)</f>
        <v>0.1026224346509084</v>
      </c>
      <c r="E43">
        <f>((FACT(B42))/(((FACT(B42-B43))* FACT( B43)))*(B44^B43)*B45^(B42-B43))</f>
        <v>6.8694213980777102E-2</v>
      </c>
      <c r="F43">
        <f>_xlfn.BINOM.DIST(B43,B42,B44,TRUE)</f>
        <v>0.10262243465090834</v>
      </c>
    </row>
    <row r="44" spans="1:16" x14ac:dyDescent="0.35">
      <c r="A44" t="s">
        <v>0</v>
      </c>
      <c r="B44">
        <v>0.49</v>
      </c>
      <c r="D44" s="1">
        <f>_xlfn.BINOM.DIST.RANGE(B42,B44,A47,A51)</f>
        <v>0.10262243465090834</v>
      </c>
    </row>
    <row r="45" spans="1:16" x14ac:dyDescent="0.35">
      <c r="A45" t="s">
        <v>1</v>
      </c>
      <c r="B45">
        <f>1-B44</f>
        <v>0.51</v>
      </c>
    </row>
    <row r="47" spans="1:16" x14ac:dyDescent="0.35">
      <c r="A47">
        <v>0</v>
      </c>
      <c r="B47">
        <f>_xlfn.BINOM.DIST(A47,$B$42,$B$44,FALSE)</f>
        <v>8.053459247209909E-5</v>
      </c>
    </row>
    <row r="48" spans="1:16" x14ac:dyDescent="0.35">
      <c r="A48">
        <v>1</v>
      </c>
      <c r="B48">
        <f t="shared" ref="B48:B51" si="6">_xlfn.BINOM.DIST(A48,$B$42,$B$44,FALSE)</f>
        <v>1.0832692242325505E-3</v>
      </c>
      <c r="G48" s="105"/>
      <c r="H48" s="105"/>
      <c r="I48" s="105"/>
    </row>
    <row r="49" spans="1:15" x14ac:dyDescent="0.35">
      <c r="A49">
        <v>2</v>
      </c>
      <c r="B49">
        <f t="shared" si="6"/>
        <v>6.765122508197401E-3</v>
      </c>
      <c r="G49" s="46"/>
      <c r="H49" s="46"/>
      <c r="I49" s="46"/>
    </row>
    <row r="50" spans="1:15" x14ac:dyDescent="0.35">
      <c r="A50">
        <v>3</v>
      </c>
      <c r="B50">
        <f t="shared" si="6"/>
        <v>2.5999294345229199E-2</v>
      </c>
    </row>
    <row r="51" spans="1:15" x14ac:dyDescent="0.35">
      <c r="A51">
        <v>4</v>
      </c>
      <c r="B51">
        <f t="shared" si="6"/>
        <v>6.8694213980777144E-2</v>
      </c>
    </row>
    <row r="52" spans="1:15" x14ac:dyDescent="0.35">
      <c r="A52" s="105"/>
      <c r="B52" s="105"/>
      <c r="C52" s="105"/>
      <c r="D52" s="105"/>
      <c r="E52" s="105"/>
      <c r="F52" s="105"/>
      <c r="G52" s="105"/>
      <c r="H52" s="105"/>
      <c r="I52" s="105"/>
      <c r="J52" s="105"/>
      <c r="K52" s="105"/>
    </row>
    <row r="53" spans="1:15" x14ac:dyDescent="0.35">
      <c r="A53" s="28" t="s">
        <v>235</v>
      </c>
      <c r="B53" s="28"/>
      <c r="C53" s="28"/>
      <c r="D53" s="28"/>
      <c r="E53" s="28" t="s">
        <v>236</v>
      </c>
      <c r="F53" s="28"/>
      <c r="G53" s="28"/>
      <c r="H53" s="28"/>
      <c r="I53" s="28"/>
      <c r="J53" s="28"/>
      <c r="K53" s="28"/>
      <c r="L53" s="28"/>
      <c r="M53" s="28"/>
      <c r="N53" s="28"/>
      <c r="O53" s="28"/>
    </row>
    <row r="54" spans="1:15" x14ac:dyDescent="0.35">
      <c r="A54" s="42" t="s">
        <v>6</v>
      </c>
      <c r="B54">
        <v>1</v>
      </c>
      <c r="E54" s="42" t="s">
        <v>6</v>
      </c>
      <c r="F54">
        <v>24</v>
      </c>
      <c r="G54" s="46"/>
      <c r="H54" s="46"/>
      <c r="I54" s="46"/>
    </row>
    <row r="55" spans="1:15" x14ac:dyDescent="0.35">
      <c r="A55" s="42" t="s">
        <v>44</v>
      </c>
      <c r="B55">
        <v>19</v>
      </c>
      <c r="E55" s="42" t="s">
        <v>44</v>
      </c>
      <c r="F55">
        <v>1</v>
      </c>
      <c r="G55" s="2"/>
      <c r="H55" s="2"/>
      <c r="I55" s="8"/>
    </row>
    <row r="56" spans="1:15" x14ac:dyDescent="0.35">
      <c r="A56" s="42" t="s">
        <v>0</v>
      </c>
      <c r="B56" s="8">
        <v>0.5</v>
      </c>
      <c r="E56" s="42" t="s">
        <v>0</v>
      </c>
      <c r="F56" s="3">
        <v>0.75</v>
      </c>
      <c r="G56" s="2"/>
      <c r="H56" s="2"/>
      <c r="I56" s="2"/>
    </row>
    <row r="57" spans="1:15" x14ac:dyDescent="0.35">
      <c r="A57" s="42" t="s">
        <v>1</v>
      </c>
      <c r="B57">
        <f>1-B56</f>
        <v>0.5</v>
      </c>
      <c r="E57" s="42" t="s">
        <v>1</v>
      </c>
      <c r="F57" s="3">
        <f>1-F56</f>
        <v>0.25</v>
      </c>
      <c r="G57" s="2"/>
      <c r="H57" s="108"/>
      <c r="I57" s="2"/>
    </row>
    <row r="58" spans="1:15" x14ac:dyDescent="0.35">
      <c r="A58" s="42" t="s">
        <v>226</v>
      </c>
      <c r="B58" s="109">
        <f>SUM(B55*B56)</f>
        <v>9.5</v>
      </c>
      <c r="E58" s="42" t="s">
        <v>226</v>
      </c>
      <c r="F58" s="109">
        <f>SUM(F54*F56)</f>
        <v>18</v>
      </c>
      <c r="G58" s="2"/>
      <c r="H58" s="2"/>
      <c r="I58" s="2"/>
    </row>
    <row r="59" spans="1:15" x14ac:dyDescent="0.35">
      <c r="A59" s="42" t="s">
        <v>228</v>
      </c>
      <c r="B59">
        <f>B54*B56*B57</f>
        <v>0.25</v>
      </c>
      <c r="E59" s="42" t="s">
        <v>228</v>
      </c>
      <c r="F59">
        <f>F54*F56*F57</f>
        <v>4.5</v>
      </c>
      <c r="G59" s="2"/>
      <c r="H59" s="2"/>
      <c r="I59" s="2"/>
    </row>
    <row r="60" spans="1:15" x14ac:dyDescent="0.35">
      <c r="A60" s="42" t="s">
        <v>230</v>
      </c>
      <c r="B60" s="109">
        <f>SQRT(B54*B56*B57)</f>
        <v>0.5</v>
      </c>
      <c r="E60" s="42" t="s">
        <v>230</v>
      </c>
      <c r="F60" s="110">
        <f>SQRT(F59)</f>
        <v>2.1213203435596424</v>
      </c>
      <c r="G60" s="2"/>
      <c r="H60" s="2"/>
      <c r="I60" s="2"/>
    </row>
    <row r="61" spans="1:15" x14ac:dyDescent="0.35">
      <c r="A61" s="42" t="s">
        <v>231</v>
      </c>
      <c r="B61" s="111">
        <f>B58-2*B60</f>
        <v>8.5</v>
      </c>
      <c r="E61" s="42" t="s">
        <v>231</v>
      </c>
      <c r="F61" s="110">
        <f>F58-2*F60</f>
        <v>13.757359312880716</v>
      </c>
      <c r="G61" s="2"/>
      <c r="H61" s="2"/>
      <c r="I61" s="2"/>
    </row>
    <row r="62" spans="1:15" x14ac:dyDescent="0.35">
      <c r="A62" s="42" t="s">
        <v>233</v>
      </c>
      <c r="B62" s="111">
        <f>B58+2*B60</f>
        <v>10.5</v>
      </c>
      <c r="E62" s="42" t="s">
        <v>233</v>
      </c>
      <c r="F62" s="110">
        <f>F58+2*F60</f>
        <v>22.242640687119284</v>
      </c>
      <c r="G62" s="2"/>
      <c r="H62" s="2"/>
      <c r="I62" s="2"/>
    </row>
    <row r="63" spans="1:15" x14ac:dyDescent="0.35">
      <c r="F63" s="8"/>
      <c r="G63" s="2"/>
      <c r="H63" s="2"/>
      <c r="I63" s="2"/>
    </row>
    <row r="64" spans="1:15" x14ac:dyDescent="0.35">
      <c r="A64" s="105"/>
      <c r="B64" s="105"/>
      <c r="C64" s="105"/>
      <c r="D64" s="105"/>
      <c r="E64" s="105"/>
      <c r="F64" s="112"/>
      <c r="G64" s="113"/>
      <c r="H64" s="113"/>
      <c r="I64" s="113"/>
      <c r="J64" s="105"/>
      <c r="K64" s="105"/>
      <c r="L64" s="105"/>
    </row>
    <row r="65" spans="1:12" x14ac:dyDescent="0.35">
      <c r="A65" s="28" t="s">
        <v>237</v>
      </c>
      <c r="B65" s="28"/>
      <c r="C65" s="28" t="s">
        <v>238</v>
      </c>
      <c r="D65" s="28"/>
      <c r="E65" s="28"/>
      <c r="F65" s="28"/>
      <c r="G65" s="29"/>
      <c r="H65" s="29"/>
      <c r="I65" s="29"/>
      <c r="J65" s="28"/>
      <c r="K65" s="28"/>
      <c r="L65" s="28"/>
    </row>
    <row r="66" spans="1:12" ht="29" x14ac:dyDescent="0.35">
      <c r="A66" s="42" t="s">
        <v>6</v>
      </c>
      <c r="B66">
        <v>4</v>
      </c>
      <c r="D66" s="114" t="s">
        <v>239</v>
      </c>
      <c r="E66" s="37">
        <f>((FACT(B66))/(((FACT(B66-B67))* FACT( B67)))*(B68^B67)*B69^(B66-B67))</f>
        <v>0.42013835999999999</v>
      </c>
      <c r="F66" s="2">
        <f>_xlfn.BINOM.DIST(B67,B66,B68,FALSE)</f>
        <v>0.42013835999999993</v>
      </c>
    </row>
    <row r="67" spans="1:12" x14ac:dyDescent="0.35">
      <c r="A67" s="42" t="s">
        <v>44</v>
      </c>
      <c r="B67">
        <v>1</v>
      </c>
      <c r="D67" s="37">
        <f>SUM(B71:B72)</f>
        <v>0.70412076999999995</v>
      </c>
    </row>
    <row r="68" spans="1:12" x14ac:dyDescent="0.35">
      <c r="A68" s="42" t="s">
        <v>0</v>
      </c>
      <c r="B68">
        <v>0.27</v>
      </c>
      <c r="D68" s="1">
        <f>_xlfn.BINOM.DIST.RANGE(B66,B68,A71,A72)</f>
        <v>0.70412077000000006</v>
      </c>
    </row>
    <row r="69" spans="1:12" x14ac:dyDescent="0.35">
      <c r="A69" s="42" t="s">
        <v>1</v>
      </c>
      <c r="B69">
        <f>1-B68</f>
        <v>0.73</v>
      </c>
      <c r="D69" s="1">
        <f>_xlfn.BINOM.DIST(1,9,B68,FALSE)</f>
        <v>0.19596980233026173</v>
      </c>
      <c r="E69" s="1" cm="1">
        <f t="array" ref="E69:E70">B74:B75</f>
        <v>5.7474360000000002E-2</v>
      </c>
    </row>
    <row r="70" spans="1:12" x14ac:dyDescent="0.35">
      <c r="A70" s="42"/>
      <c r="D70" s="56"/>
      <c r="E70">
        <v>5.3144100000000012E-3</v>
      </c>
    </row>
    <row r="71" spans="1:12" x14ac:dyDescent="0.35">
      <c r="A71">
        <v>0</v>
      </c>
      <c r="B71">
        <f>_xlfn.BINOM.DIST(A71,$B$66,$B$68,FALSE)</f>
        <v>0.28398241000000002</v>
      </c>
    </row>
    <row r="72" spans="1:12" x14ac:dyDescent="0.35">
      <c r="A72">
        <v>1</v>
      </c>
      <c r="B72">
        <f t="shared" ref="B72:B75" si="7">_xlfn.BINOM.DIST(A72,$B$66,$B$68,FALSE)</f>
        <v>0.42013835999999993</v>
      </c>
    </row>
    <row r="73" spans="1:12" x14ac:dyDescent="0.35">
      <c r="A73">
        <v>2</v>
      </c>
      <c r="B73">
        <f t="shared" si="7"/>
        <v>0.23309046000000005</v>
      </c>
    </row>
    <row r="74" spans="1:12" x14ac:dyDescent="0.35">
      <c r="A74">
        <v>3</v>
      </c>
      <c r="B74">
        <f t="shared" si="7"/>
        <v>5.7474360000000002E-2</v>
      </c>
      <c r="G74" s="105"/>
      <c r="H74" s="105"/>
      <c r="I74" s="105"/>
    </row>
    <row r="75" spans="1:12" x14ac:dyDescent="0.35">
      <c r="A75">
        <v>4</v>
      </c>
      <c r="B75">
        <f t="shared" si="7"/>
        <v>5.3144100000000012E-3</v>
      </c>
    </row>
    <row r="76" spans="1:12" x14ac:dyDescent="0.35">
      <c r="A76" t="s">
        <v>240</v>
      </c>
    </row>
    <row r="77" spans="1:12" x14ac:dyDescent="0.35">
      <c r="A77" s="105"/>
      <c r="B77" s="105"/>
      <c r="C77" s="105"/>
      <c r="D77" s="105"/>
      <c r="E77" s="105"/>
      <c r="F77" s="105"/>
    </row>
    <row r="78" spans="1:12" x14ac:dyDescent="0.35">
      <c r="A78" s="28" t="s">
        <v>241</v>
      </c>
      <c r="B78" s="28"/>
      <c r="C78" s="28"/>
      <c r="D78" s="28"/>
      <c r="E78" s="28" t="s">
        <v>242</v>
      </c>
      <c r="F78" s="28"/>
      <c r="G78" s="28"/>
      <c r="H78" s="28"/>
      <c r="I78" s="28"/>
      <c r="J78" s="28"/>
      <c r="K78" s="28"/>
    </row>
    <row r="79" spans="1:12" x14ac:dyDescent="0.35">
      <c r="A79" s="115" t="s">
        <v>6</v>
      </c>
      <c r="B79">
        <v>55</v>
      </c>
      <c r="C79" s="115" t="s">
        <v>0</v>
      </c>
      <c r="D79">
        <v>0.03</v>
      </c>
    </row>
    <row r="80" spans="1:12" x14ac:dyDescent="0.35">
      <c r="A80" s="115" t="s">
        <v>44</v>
      </c>
      <c r="B80">
        <v>3</v>
      </c>
      <c r="E80" s="95"/>
    </row>
    <row r="81" spans="1:11" x14ac:dyDescent="0.35">
      <c r="A81">
        <v>0</v>
      </c>
      <c r="B81">
        <f>_xlfn.BINOM.DIST(A81,$B$79,$D$79,FALSE)</f>
        <v>0.18726015763786089</v>
      </c>
      <c r="D81" s="1">
        <f>B81+B82+B83+B84</f>
        <v>0.91712549479028671</v>
      </c>
      <c r="F81" t="s">
        <v>243</v>
      </c>
      <c r="G81" t="s">
        <v>244</v>
      </c>
    </row>
    <row r="82" spans="1:11" x14ac:dyDescent="0.35">
      <c r="A82">
        <v>1</v>
      </c>
      <c r="B82">
        <f t="shared" ref="B82:B84" si="8">_xlfn.BINOM.DIST(A82,$B$79,$D$79,FALSE)</f>
        <v>0.31853531969326848</v>
      </c>
      <c r="D82" s="1">
        <f>SUM(B81:B84)</f>
        <v>0.91712549479028671</v>
      </c>
      <c r="E82" t="s">
        <v>245</v>
      </c>
      <c r="F82" s="116">
        <f>D82*100</f>
        <v>91.712549479028667</v>
      </c>
      <c r="G82" s="107">
        <f>100-F82</f>
        <v>8.2874505209713334</v>
      </c>
    </row>
    <row r="83" spans="1:11" x14ac:dyDescent="0.35">
      <c r="A83">
        <v>2</v>
      </c>
      <c r="B83">
        <f t="shared" si="8"/>
        <v>0.26599341129025511</v>
      </c>
      <c r="D83" s="37">
        <f>_xlfn.BINOM.DIST(B80,B79,D79,TRUE)</f>
        <v>0.91712549479028671</v>
      </c>
      <c r="E83" t="s">
        <v>246</v>
      </c>
      <c r="F83" s="3">
        <f>D83*100</f>
        <v>91.712549479028667</v>
      </c>
      <c r="G83" s="78">
        <f>100-F83</f>
        <v>8.2874505209713334</v>
      </c>
    </row>
    <row r="84" spans="1:11" x14ac:dyDescent="0.35">
      <c r="A84">
        <v>3</v>
      </c>
      <c r="B84">
        <f t="shared" si="8"/>
        <v>0.14533660616890223</v>
      </c>
      <c r="E84" cm="1">
        <f t="array" ref="E84:E86">_xlfn.BINOM.DIST(A81:A83,B79,D79,TRUE)</f>
        <v>0.18726015763786089</v>
      </c>
      <c r="G84" s="117"/>
    </row>
    <row r="85" spans="1:11" x14ac:dyDescent="0.35">
      <c r="A85">
        <v>4</v>
      </c>
      <c r="B85">
        <f t="shared" ref="B85" si="9">_xlfn.BINOM.DIST(A85,$B$79,$D$780,FALSE)</f>
        <v>0</v>
      </c>
      <c r="E85">
        <v>0.50579547733112917</v>
      </c>
    </row>
    <row r="86" spans="1:11" x14ac:dyDescent="0.35">
      <c r="E86">
        <v>0.77178888862138439</v>
      </c>
    </row>
    <row r="87" spans="1:11" x14ac:dyDescent="0.35">
      <c r="A87" s="105"/>
      <c r="B87" s="105"/>
      <c r="C87" s="105"/>
      <c r="D87" s="105"/>
      <c r="E87" s="105"/>
      <c r="F87" s="105"/>
      <c r="G87" s="105"/>
      <c r="H87" s="105"/>
      <c r="I87" s="105"/>
      <c r="J87" s="105"/>
      <c r="K87" s="105"/>
    </row>
    <row r="88" spans="1:11" x14ac:dyDescent="0.35">
      <c r="A88" t="s">
        <v>247</v>
      </c>
    </row>
    <row r="89" spans="1:11" x14ac:dyDescent="0.35">
      <c r="A89" t="s">
        <v>207</v>
      </c>
      <c r="B89" t="s">
        <v>208</v>
      </c>
      <c r="C89" s="3" t="s">
        <v>209</v>
      </c>
      <c r="D89" t="s">
        <v>210</v>
      </c>
      <c r="E89" t="s">
        <v>211</v>
      </c>
      <c r="F89" s="45"/>
    </row>
    <row r="90" spans="1:11" x14ac:dyDescent="0.35">
      <c r="A90" s="47">
        <f>357.85-0.98</f>
        <v>356.87</v>
      </c>
      <c r="B90" s="3">
        <f>0.98</f>
        <v>0.98</v>
      </c>
      <c r="C90" s="61">
        <f>1/1000</f>
        <v>1E-3</v>
      </c>
      <c r="D90" s="2">
        <f>1-C90</f>
        <v>0.999</v>
      </c>
      <c r="E90" s="38">
        <f>A90*C90-B90*D90</f>
        <v>-0.62214999999999998</v>
      </c>
    </row>
    <row r="91" spans="1:11" x14ac:dyDescent="0.35">
      <c r="B91" s="3">
        <v>-0.98</v>
      </c>
      <c r="C91" s="2">
        <f t="shared" ref="C91" si="10">5/38</f>
        <v>0.13157894736842105</v>
      </c>
      <c r="D91" s="3">
        <f t="shared" ref="D91" si="11">33/38</f>
        <v>0.86842105263157898</v>
      </c>
      <c r="E91" s="3">
        <f>(A91*C91)+(B91*D91)</f>
        <v>-0.85105263157894739</v>
      </c>
    </row>
    <row r="92" spans="1:11" ht="29" x14ac:dyDescent="0.35">
      <c r="A92" s="114" t="s">
        <v>211</v>
      </c>
      <c r="B92" s="3">
        <f>A90*C90-B90*D90</f>
        <v>-0.62214999999999998</v>
      </c>
      <c r="C92" s="2"/>
      <c r="D92" s="3"/>
    </row>
    <row r="93" spans="1:11" x14ac:dyDescent="0.35">
      <c r="B93" s="3"/>
      <c r="C93" s="2"/>
      <c r="D93" s="3"/>
      <c r="F93" s="100" t="s">
        <v>213</v>
      </c>
    </row>
    <row r="94" spans="1:11" x14ac:dyDescent="0.35">
      <c r="B94" s="3"/>
      <c r="C94" s="2"/>
      <c r="D94" s="3"/>
      <c r="F94" t="s">
        <v>214</v>
      </c>
    </row>
    <row r="95" spans="1:11" x14ac:dyDescent="0.35">
      <c r="B95" s="3"/>
      <c r="C95" s="2"/>
      <c r="D95" s="3"/>
    </row>
    <row r="96" spans="1:11" x14ac:dyDescent="0.35">
      <c r="B96" s="3"/>
    </row>
    <row r="97" spans="1:6" x14ac:dyDescent="0.35">
      <c r="B97" s="3"/>
      <c r="F97" t="s">
        <v>216</v>
      </c>
    </row>
    <row r="98" spans="1:6" x14ac:dyDescent="0.35">
      <c r="B98" s="3"/>
      <c r="F98">
        <v>38</v>
      </c>
    </row>
    <row r="99" spans="1:6" x14ac:dyDescent="0.35">
      <c r="B99" s="3"/>
      <c r="F99">
        <v>-1.05</v>
      </c>
    </row>
    <row r="100" spans="1:6" x14ac:dyDescent="0.35">
      <c r="B100" s="3"/>
      <c r="F100" s="3">
        <f>60*(3/38)+(-20)*(35/38)</f>
        <v>-13.684210526315788</v>
      </c>
    </row>
    <row r="101" spans="1:6" x14ac:dyDescent="0.35">
      <c r="A101" s="105"/>
      <c r="B101" s="105"/>
      <c r="C101" s="105"/>
      <c r="D101" s="105"/>
      <c r="E101" s="105"/>
      <c r="F101" s="105"/>
    </row>
    <row r="102" spans="1:6" x14ac:dyDescent="0.35">
      <c r="A102" t="s">
        <v>48</v>
      </c>
      <c r="B102" t="s">
        <v>248</v>
      </c>
    </row>
    <row r="103" spans="1:6" x14ac:dyDescent="0.35">
      <c r="A103" t="s">
        <v>50</v>
      </c>
      <c r="B103" t="s">
        <v>249</v>
      </c>
    </row>
    <row r="104" spans="1:6" x14ac:dyDescent="0.35">
      <c r="A104" t="s">
        <v>230</v>
      </c>
      <c r="B104" t="s">
        <v>250</v>
      </c>
    </row>
  </sheetData>
  <pageMargins left="0.7" right="0.7" top="0.75" bottom="0.75" header="0.3" footer="0.3"/>
  <drawing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C1F9B-F005-4D08-A2F2-D10CCD83564C}">
  <dimension ref="A1:O83"/>
  <sheetViews>
    <sheetView topLeftCell="A61" workbookViewId="0">
      <selection activeCell="F30" sqref="F30"/>
    </sheetView>
  </sheetViews>
  <sheetFormatPr defaultRowHeight="14.5" x14ac:dyDescent="0.35"/>
  <cols>
    <col min="1" max="1" width="23.81640625" bestFit="1" customWidth="1"/>
    <col min="2" max="2" width="12.36328125" bestFit="1" customWidth="1"/>
    <col min="4" max="4" width="10.1796875" customWidth="1"/>
    <col min="7" max="7" width="20.81640625" bestFit="1" customWidth="1"/>
  </cols>
  <sheetData>
    <row r="1" spans="1:11" x14ac:dyDescent="0.35">
      <c r="A1" t="s">
        <v>251</v>
      </c>
    </row>
    <row r="2" spans="1:11" x14ac:dyDescent="0.35">
      <c r="A2" t="s">
        <v>22</v>
      </c>
      <c r="B2" s="1">
        <v>76</v>
      </c>
      <c r="C2">
        <v>76</v>
      </c>
      <c r="D2">
        <v>76</v>
      </c>
      <c r="F2" t="e">
        <f>((D2-D4)/(B5/SQRT(C16)))</f>
        <v>#DIV/0!</v>
      </c>
      <c r="H2" t="s">
        <v>22</v>
      </c>
      <c r="I2" t="s">
        <v>252</v>
      </c>
      <c r="K2">
        <v>1</v>
      </c>
    </row>
    <row r="3" spans="1:11" x14ac:dyDescent="0.35">
      <c r="A3" t="s">
        <v>24</v>
      </c>
      <c r="F3" t="e">
        <f>B5/SQRT(C16)</f>
        <v>#DIV/0!</v>
      </c>
      <c r="H3" t="s">
        <v>24</v>
      </c>
    </row>
    <row r="4" spans="1:11" x14ac:dyDescent="0.35">
      <c r="A4" t="s">
        <v>25</v>
      </c>
      <c r="B4">
        <v>69</v>
      </c>
      <c r="C4">
        <f>B4</f>
        <v>69</v>
      </c>
      <c r="D4">
        <f>B4</f>
        <v>69</v>
      </c>
      <c r="E4">
        <f>C4</f>
        <v>69</v>
      </c>
      <c r="F4">
        <f>(D2-D4)/D5</f>
        <v>2.5</v>
      </c>
      <c r="H4" t="s">
        <v>25</v>
      </c>
      <c r="I4">
        <v>99.5</v>
      </c>
    </row>
    <row r="5" spans="1:11" x14ac:dyDescent="0.35">
      <c r="A5" t="s">
        <v>26</v>
      </c>
      <c r="B5">
        <v>2.8</v>
      </c>
      <c r="C5" s="1">
        <f>B17</f>
        <v>0.55999999999999994</v>
      </c>
      <c r="D5" s="1">
        <f>B5</f>
        <v>2.8</v>
      </c>
      <c r="E5" s="1">
        <f>D17</f>
        <v>0.77658027471532076</v>
      </c>
      <c r="H5" t="s">
        <v>26</v>
      </c>
      <c r="I5">
        <v>23.5</v>
      </c>
    </row>
    <row r="6" spans="1:11" x14ac:dyDescent="0.35">
      <c r="A6" t="s">
        <v>27</v>
      </c>
      <c r="H6" t="s">
        <v>27</v>
      </c>
      <c r="I6">
        <v>0.25</v>
      </c>
    </row>
    <row r="7" spans="1:11" x14ac:dyDescent="0.35">
      <c r="A7" t="s">
        <v>29</v>
      </c>
      <c r="B7" s="1">
        <f>_xlfn.NORM.DIST(B2,B4,B5,TRUE)</f>
        <v>0.99379033467422384</v>
      </c>
      <c r="C7" s="1">
        <f>_xlfn.NORM.DIST(C2,C4,C5,TRUE)</f>
        <v>1</v>
      </c>
      <c r="D7" s="1">
        <f>_xlfn.NORM.DIST(D2,D4,D5,TRUE)</f>
        <v>0.99379033467422384</v>
      </c>
      <c r="E7" s="1">
        <f>_xlfn.NORM.DIST(E2,E4,E5,TRUE)</f>
        <v>0</v>
      </c>
      <c r="F7" s="1"/>
      <c r="H7" t="s">
        <v>29</v>
      </c>
      <c r="I7" s="1" t="e">
        <f>_xlfn.NORM.DIST(I2,I4,I5,TRUE)</f>
        <v>#VALUE!</v>
      </c>
    </row>
    <row r="8" spans="1:11" x14ac:dyDescent="0.35">
      <c r="A8" t="s">
        <v>253</v>
      </c>
      <c r="B8" s="1">
        <f>_xlfn.NORM.DIST(B2,B4,B5,TRUE)</f>
        <v>0.99379033467422384</v>
      </c>
      <c r="C8" s="1">
        <f>_xlfn.NORM.DIST(C2,C4,C5,TRUE)</f>
        <v>1</v>
      </c>
      <c r="D8" s="1">
        <f>_xlfn.NORM.DIST(D2,D4,D5,TRUE)</f>
        <v>0.99379033467422384</v>
      </c>
      <c r="E8" s="1">
        <f>_xlfn.NORM.DIST(E2,E4,E5,TRUE)</f>
        <v>0</v>
      </c>
      <c r="F8" s="1"/>
      <c r="H8" t="s">
        <v>254</v>
      </c>
      <c r="I8" s="1" t="e">
        <f>_xlfn.NORM.DIST(I2,I4,I5,TRUE)</f>
        <v>#VALUE!</v>
      </c>
    </row>
    <row r="9" spans="1:11" x14ac:dyDescent="0.35">
      <c r="A9" t="s">
        <v>255</v>
      </c>
      <c r="B9" s="1">
        <f>1-_xlfn.NORM.DIST(B2,B4,B5,TRUE)</f>
        <v>6.2096653257761592E-3</v>
      </c>
      <c r="C9" s="1">
        <f>1-_xlfn.NORM.DIST(C2,C4,C5,TRUE)</f>
        <v>0</v>
      </c>
      <c r="D9" s="1">
        <f>1-_xlfn.NORM.DIST(D2,D4,D5,TRUE)</f>
        <v>6.2096653257761592E-3</v>
      </c>
      <c r="E9" s="37">
        <f>1-_xlfn.NORM.DIST(E2,E4,E5,TRUE)</f>
        <v>1</v>
      </c>
      <c r="F9" s="1"/>
      <c r="H9" t="s">
        <v>256</v>
      </c>
      <c r="I9" s="1" t="e">
        <f>1-_xlfn.NORM.DIST(I2,I4,I5,TRUE)</f>
        <v>#VALUE!</v>
      </c>
    </row>
    <row r="10" spans="1:11" x14ac:dyDescent="0.35">
      <c r="A10" t="s">
        <v>35</v>
      </c>
      <c r="B10" s="34">
        <f>_xlfn.NORM.DIST(B3,B4,B5,TRUE)-_xlfn.NORM.DIST(B2,B4,B5,TRUE)</f>
        <v>-0.99379033467422384</v>
      </c>
      <c r="C10" s="34">
        <f>_xlfn.NORM.DIST(C3,C4,C5,TRUE)-_xlfn.NORM.DIST(C2,C4,C5,TRUE)</f>
        <v>-1</v>
      </c>
      <c r="D10" s="34">
        <f>_xlfn.NORM.DIST(D3,D4,D5,TRUE)-_xlfn.NORM.DIST(D2,D4,D5,TRUE)</f>
        <v>-0.99379033467422384</v>
      </c>
      <c r="E10" s="34">
        <f>_xlfn.NORM.DIST(E3,E4,E5,TRUE)-_xlfn.NORM.DIST(E2,E4,E5,TRUE)</f>
        <v>0</v>
      </c>
      <c r="F10" s="34"/>
      <c r="H10" t="s">
        <v>257</v>
      </c>
      <c r="I10" s="1" t="e">
        <f>_xlfn.NORM.DIST(I3,I4,I5,TRUE)-_xlfn.NORM.DIST(I2,I4,I5,TRUE)</f>
        <v>#VALUE!</v>
      </c>
    </row>
    <row r="11" spans="1:11" x14ac:dyDescent="0.35">
      <c r="A11" t="s">
        <v>37</v>
      </c>
      <c r="B11" s="2" t="e">
        <f>_xlfn.NORM.INV(B6,B4,B5)</f>
        <v>#NUM!</v>
      </c>
      <c r="C11" s="1" t="e">
        <f>_xlfn.NORM.INV(C6,C4,C5)</f>
        <v>#NUM!</v>
      </c>
      <c r="D11" s="2" t="e">
        <f>_xlfn.NORM.INV(D6,D4,D5)</f>
        <v>#NUM!</v>
      </c>
      <c r="E11" s="2" t="e">
        <f>_xlfn.NORM.INV(E6,E4,E5)</f>
        <v>#NUM!</v>
      </c>
      <c r="F11" s="2"/>
      <c r="H11" t="s">
        <v>37</v>
      </c>
      <c r="I11" s="2">
        <f>_xlfn.NORM.INV(I6,I4,I5)</f>
        <v>83.649490870392071</v>
      </c>
    </row>
    <row r="12" spans="1:11" x14ac:dyDescent="0.35">
      <c r="A12" t="s">
        <v>38</v>
      </c>
      <c r="B12" s="2" t="e">
        <f>_xlfn.NORM.INV(1-B6,B4,B5)</f>
        <v>#NUM!</v>
      </c>
      <c r="C12" s="1" t="e">
        <f>_xlfn.NORM.INV(1-C6,C4,C5)</f>
        <v>#NUM!</v>
      </c>
      <c r="D12" s="2" t="e">
        <f>_xlfn.NORM.INV(1-D6,D4,D5)</f>
        <v>#NUM!</v>
      </c>
      <c r="E12" s="2" t="e">
        <f>_xlfn.NORM.INV(1-E6,E4,E5)</f>
        <v>#NUM!</v>
      </c>
      <c r="F12" s="2"/>
      <c r="H12" t="s">
        <v>38</v>
      </c>
      <c r="I12" s="2">
        <f>_xlfn.NORM.INV(1-I6,I4,I5)</f>
        <v>115.35050912960793</v>
      </c>
    </row>
    <row r="13" spans="1:11" x14ac:dyDescent="0.35">
      <c r="A13" t="s">
        <v>39</v>
      </c>
      <c r="B13" s="2" t="e">
        <f>_xlfn.NORM.INV(B6,B4,B5*2)</f>
        <v>#NUM!</v>
      </c>
      <c r="C13" s="1" t="e">
        <f>_xlfn.NORM.INV(C6,C4,C5*2)</f>
        <v>#NUM!</v>
      </c>
      <c r="D13" s="2" t="e">
        <f>_xlfn.NORM.INV(D6,D4,D5*2)</f>
        <v>#NUM!</v>
      </c>
      <c r="E13" s="2" t="e">
        <f>_xlfn.NORM.INV(E6,E4,E5*2)</f>
        <v>#NUM!</v>
      </c>
      <c r="F13" s="2"/>
      <c r="H13" t="s">
        <v>39</v>
      </c>
      <c r="I13" s="2">
        <f>_xlfn.NORM.INV(I6/2,I4,I5)</f>
        <v>72.466789561163807</v>
      </c>
    </row>
    <row r="14" spans="1:11" x14ac:dyDescent="0.35">
      <c r="A14" t="s">
        <v>40</v>
      </c>
      <c r="B14" s="2" t="e">
        <f>_xlfn.NORM.INV(1-B6,B4,B5*2)</f>
        <v>#NUM!</v>
      </c>
      <c r="C14" s="1" t="e">
        <f>_xlfn.NORM.INV(1-C6,C4,C5*2)</f>
        <v>#NUM!</v>
      </c>
      <c r="D14" s="2" t="e">
        <f>_xlfn.NORM.INV(1-D6,D4,D5*2)</f>
        <v>#NUM!</v>
      </c>
      <c r="E14" s="2" t="e">
        <f>_xlfn.NORM.INV(1-E6,E4,E5*2)</f>
        <v>#NUM!</v>
      </c>
      <c r="F14" s="2"/>
      <c r="H14" t="s">
        <v>40</v>
      </c>
      <c r="I14" s="2">
        <f>_xlfn.NORM.INV(1-(I6/2),I4,I5)</f>
        <v>126.53321043883619</v>
      </c>
    </row>
    <row r="15" spans="1:11" x14ac:dyDescent="0.35">
      <c r="A15" t="s">
        <v>41</v>
      </c>
      <c r="B15" s="8">
        <f>B4+(B1*B5)</f>
        <v>69</v>
      </c>
      <c r="C15" s="8">
        <f>C4+(C1*C5)</f>
        <v>69</v>
      </c>
      <c r="D15" s="8">
        <f>D4+(D1*D5)</f>
        <v>69</v>
      </c>
      <c r="E15" s="8">
        <f>E4+(E1*E5)</f>
        <v>69</v>
      </c>
      <c r="F15" s="8"/>
      <c r="I15" s="105"/>
      <c r="J15" s="105"/>
    </row>
    <row r="16" spans="1:11" x14ac:dyDescent="0.35">
      <c r="A16" t="s">
        <v>42</v>
      </c>
      <c r="B16" s="8">
        <v>25</v>
      </c>
      <c r="C16" s="8"/>
      <c r="D16" s="8">
        <v>13</v>
      </c>
      <c r="E16" s="8"/>
      <c r="F16" s="8"/>
      <c r="I16" s="105"/>
      <c r="J16" s="105"/>
    </row>
    <row r="17" spans="1:15" x14ac:dyDescent="0.35">
      <c r="A17" t="s">
        <v>258</v>
      </c>
      <c r="B17" s="1">
        <f>B5/(SQRT(B16))</f>
        <v>0.55999999999999994</v>
      </c>
      <c r="C17" s="1" t="e">
        <f>C5/(SQRT(C16))</f>
        <v>#DIV/0!</v>
      </c>
      <c r="D17" s="1">
        <f>D5/(SQRT(D16))</f>
        <v>0.77658027471532076</v>
      </c>
      <c r="E17" s="1" t="e">
        <f>E5/(SQRT(E16))</f>
        <v>#DIV/0!</v>
      </c>
      <c r="F17" s="8"/>
      <c r="I17" s="105"/>
      <c r="J17" s="105"/>
    </row>
    <row r="18" spans="1:15" x14ac:dyDescent="0.35">
      <c r="A18" s="105"/>
      <c r="B18" s="105"/>
      <c r="C18" s="105"/>
      <c r="D18" s="105"/>
      <c r="E18" s="105"/>
      <c r="F18" s="105"/>
      <c r="G18" s="105"/>
    </row>
    <row r="19" spans="1:15" x14ac:dyDescent="0.35">
      <c r="A19" s="28" t="s">
        <v>259</v>
      </c>
      <c r="B19" s="28"/>
      <c r="D19" t="s">
        <v>260</v>
      </c>
      <c r="J19" s="105"/>
      <c r="K19" s="105"/>
      <c r="L19" s="105"/>
      <c r="M19" s="105"/>
    </row>
    <row r="20" spans="1:15" x14ac:dyDescent="0.35">
      <c r="A20" s="28" t="s">
        <v>261</v>
      </c>
      <c r="B20" s="118">
        <f>(B22-B23)*B24</f>
        <v>0.67857142857142849</v>
      </c>
      <c r="D20" t="s">
        <v>262</v>
      </c>
      <c r="E20">
        <v>49</v>
      </c>
    </row>
    <row r="21" spans="1:15" x14ac:dyDescent="0.35">
      <c r="A21" s="28" t="s">
        <v>263</v>
      </c>
      <c r="B21" s="118">
        <f>(B22-B23)*B24</f>
        <v>0.67857142857142849</v>
      </c>
      <c r="D21" t="s">
        <v>264</v>
      </c>
      <c r="E21">
        <v>54</v>
      </c>
    </row>
    <row r="22" spans="1:15" x14ac:dyDescent="0.35">
      <c r="A22" s="28" t="s">
        <v>265</v>
      </c>
      <c r="B22" s="28">
        <v>7</v>
      </c>
      <c r="D22" t="s">
        <v>266</v>
      </c>
      <c r="E22">
        <f>E21-E20</f>
        <v>5</v>
      </c>
    </row>
    <row r="23" spans="1:15" x14ac:dyDescent="0.35">
      <c r="A23" s="28" t="s">
        <v>44</v>
      </c>
      <c r="B23" s="28">
        <v>2.25</v>
      </c>
      <c r="D23" t="s">
        <v>267</v>
      </c>
      <c r="E23">
        <v>50.75</v>
      </c>
    </row>
    <row r="24" spans="1:15" x14ac:dyDescent="0.35">
      <c r="A24" s="28" t="s">
        <v>268</v>
      </c>
      <c r="B24" s="78">
        <f>1/B22</f>
        <v>0.14285714285714285</v>
      </c>
      <c r="D24" t="s">
        <v>269</v>
      </c>
      <c r="E24">
        <v>51.25</v>
      </c>
    </row>
    <row r="25" spans="1:15" x14ac:dyDescent="0.35">
      <c r="A25" s="28" t="s">
        <v>270</v>
      </c>
      <c r="B25" s="28">
        <f>B22-B23</f>
        <v>4.75</v>
      </c>
      <c r="D25" t="s">
        <v>271</v>
      </c>
      <c r="E25">
        <f>1/E22</f>
        <v>0.2</v>
      </c>
    </row>
    <row r="26" spans="1:15" x14ac:dyDescent="0.35">
      <c r="A26" s="28"/>
      <c r="B26" s="28"/>
      <c r="D26" t="s">
        <v>272</v>
      </c>
      <c r="E26" s="61">
        <f>(E24-E23)*E25</f>
        <v>0.1</v>
      </c>
    </row>
    <row r="27" spans="1:15" x14ac:dyDescent="0.35">
      <c r="A27" s="48"/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</row>
    <row r="28" spans="1:15" x14ac:dyDescent="0.35">
      <c r="A28" s="28" t="s">
        <v>273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</row>
    <row r="29" spans="1:15" x14ac:dyDescent="0.35">
      <c r="A29" t="s">
        <v>251</v>
      </c>
    </row>
    <row r="30" spans="1:15" x14ac:dyDescent="0.35">
      <c r="A30" t="s">
        <v>22</v>
      </c>
      <c r="B30" s="8">
        <f>3750/25</f>
        <v>150</v>
      </c>
      <c r="C30">
        <v>150</v>
      </c>
      <c r="D30">
        <v>180</v>
      </c>
    </row>
    <row r="31" spans="1:15" x14ac:dyDescent="0.35">
      <c r="A31" t="s">
        <v>24</v>
      </c>
    </row>
    <row r="32" spans="1:15" x14ac:dyDescent="0.35">
      <c r="A32" t="s">
        <v>25</v>
      </c>
      <c r="B32">
        <v>185</v>
      </c>
      <c r="C32">
        <v>185</v>
      </c>
      <c r="D32">
        <v>185</v>
      </c>
    </row>
    <row r="33" spans="1:12" x14ac:dyDescent="0.35">
      <c r="A33" t="s">
        <v>26</v>
      </c>
      <c r="B33">
        <v>39</v>
      </c>
      <c r="C33" s="1">
        <v>39</v>
      </c>
      <c r="D33" s="119">
        <v>7.1204000000000001</v>
      </c>
    </row>
    <row r="34" spans="1:12" x14ac:dyDescent="0.35">
      <c r="A34" t="s">
        <v>27</v>
      </c>
    </row>
    <row r="35" spans="1:12" x14ac:dyDescent="0.35">
      <c r="A35" t="s">
        <v>29</v>
      </c>
      <c r="B35" s="1">
        <f>_xlfn.NORM.DIST(B30,B32,B33,TRUE)</f>
        <v>0.18474318230977091</v>
      </c>
      <c r="C35" s="1">
        <f>_xlfn.NORM.DIST(C30,C32,C33,TRUE)</f>
        <v>0.18474318230977091</v>
      </c>
      <c r="D35" s="1">
        <f>_xlfn.NORM.DIST(D30,D32,D33,TRUE)</f>
        <v>0.24127480934110074</v>
      </c>
      <c r="E35" s="1"/>
    </row>
    <row r="36" spans="1:12" x14ac:dyDescent="0.35">
      <c r="A36" t="s">
        <v>253</v>
      </c>
      <c r="B36" s="1">
        <f>_xlfn.NORM.DIST(B30,B32,B33,TRUE)</f>
        <v>0.18474318230977091</v>
      </c>
      <c r="C36" s="1">
        <f>_xlfn.NORM.DIST(C30,C32,C33,TRUE)</f>
        <v>0.18474318230977091</v>
      </c>
      <c r="D36" s="1">
        <f>_xlfn.NORM.DIST(D30,D32,D33,TRUE)</f>
        <v>0.24127480934110074</v>
      </c>
      <c r="E36" s="1"/>
    </row>
    <row r="37" spans="1:12" x14ac:dyDescent="0.35">
      <c r="A37" t="s">
        <v>255</v>
      </c>
      <c r="B37" s="1">
        <f>1-_xlfn.NORM.DIST(B30,B32,B33,TRUE)</f>
        <v>0.81525681769022906</v>
      </c>
      <c r="C37" s="37">
        <f>1-_xlfn.NORM.DIST(C30,C32,C33,TRUE)</f>
        <v>0.81525681769022906</v>
      </c>
      <c r="D37" s="119">
        <f>1-_xlfn.NORM.DIST(D30,D32,D33,TRUE)</f>
        <v>0.75872519065889921</v>
      </c>
      <c r="E37" s="1"/>
    </row>
    <row r="38" spans="1:12" x14ac:dyDescent="0.35">
      <c r="A38" t="s">
        <v>35</v>
      </c>
      <c r="B38" s="34">
        <f>_xlfn.NORM.DIST(B31,B32,B33,TRUE)-_xlfn.NORM.DIST(B30,B32,B33,TRUE)</f>
        <v>-0.18474213249046303</v>
      </c>
      <c r="C38" s="34">
        <f>_xlfn.NORM.DIST(C31,C32,C33,TRUE)-_xlfn.NORM.DIST(C30,C32,C33,TRUE)</f>
        <v>-0.18474213249046303</v>
      </c>
      <c r="D38" s="34">
        <f>_xlfn.NORM.DIST(D31,D32,D33,TRUE)-_xlfn.NORM.DIST(D30,D32,D33,TRUE)</f>
        <v>-0.24127480934110074</v>
      </c>
      <c r="E38" s="34"/>
    </row>
    <row r="39" spans="1:12" x14ac:dyDescent="0.35">
      <c r="A39" t="s">
        <v>37</v>
      </c>
      <c r="B39" s="2" t="e">
        <f>_xlfn.NORM.INV(B34,B32,B33)</f>
        <v>#NUM!</v>
      </c>
      <c r="C39" s="2" t="e">
        <f>_xlfn.NORM.INV(C34,C32,C33)</f>
        <v>#NUM!</v>
      </c>
      <c r="D39" s="2" t="e">
        <f>_xlfn.NORM.INV(D34,D32,D33)</f>
        <v>#NUM!</v>
      </c>
      <c r="E39" s="2"/>
    </row>
    <row r="40" spans="1:12" x14ac:dyDescent="0.35">
      <c r="A40" t="s">
        <v>38</v>
      </c>
      <c r="B40" s="2" t="e">
        <f>_xlfn.NORM.INV(1-B34,B32,B33)</f>
        <v>#NUM!</v>
      </c>
      <c r="C40" s="2" t="e">
        <f>_xlfn.NORM.INV(1-C34,C32,C33)</f>
        <v>#NUM!</v>
      </c>
      <c r="D40" s="2" t="e">
        <f>_xlfn.NORM.INV(1-D34,D32,D33)</f>
        <v>#NUM!</v>
      </c>
      <c r="E40" s="2"/>
    </row>
    <row r="41" spans="1:12" x14ac:dyDescent="0.35">
      <c r="A41" t="s">
        <v>39</v>
      </c>
      <c r="B41" s="2" t="e">
        <f>_xlfn.NORM.INV(B34,B32,B33*2)</f>
        <v>#NUM!</v>
      </c>
      <c r="C41" s="2" t="e">
        <f>_xlfn.NORM.INV(C34,C32,C33*2)</f>
        <v>#NUM!</v>
      </c>
      <c r="D41" s="2" t="e">
        <f>_xlfn.NORM.INV(D34,D32,D33*2)</f>
        <v>#NUM!</v>
      </c>
      <c r="E41" s="2"/>
    </row>
    <row r="42" spans="1:12" x14ac:dyDescent="0.35">
      <c r="A42" t="s">
        <v>40</v>
      </c>
      <c r="B42" s="2" t="e">
        <f>_xlfn.NORM.INV(1-B34,B32,B33*2)</f>
        <v>#NUM!</v>
      </c>
      <c r="C42" s="2" t="e">
        <f>_xlfn.NORM.INV(1-C34,C32,C33*2)</f>
        <v>#NUM!</v>
      </c>
      <c r="D42" s="2" t="e">
        <f>_xlfn.NORM.INV(1-D34,D32,D33*2)</f>
        <v>#NUM!</v>
      </c>
      <c r="E42" s="2"/>
    </row>
    <row r="43" spans="1:12" x14ac:dyDescent="0.35">
      <c r="A43" t="s">
        <v>41</v>
      </c>
      <c r="B43" s="8">
        <f>B32+(B29*B33)</f>
        <v>185</v>
      </c>
      <c r="C43" s="8">
        <f>C32+(C29*C33)</f>
        <v>185</v>
      </c>
      <c r="D43" s="8">
        <f>D32+(D29*D33)</f>
        <v>185</v>
      </c>
      <c r="E43" s="8"/>
    </row>
    <row r="44" spans="1:12" x14ac:dyDescent="0.35">
      <c r="A44" t="s">
        <v>42</v>
      </c>
      <c r="B44" s="8">
        <v>36</v>
      </c>
      <c r="C44" s="120">
        <v>30</v>
      </c>
      <c r="D44" s="8"/>
      <c r="E44" s="8"/>
    </row>
    <row r="45" spans="1:12" x14ac:dyDescent="0.35">
      <c r="A45" t="s">
        <v>258</v>
      </c>
      <c r="B45" s="1">
        <f>B33/(SQRT(B44))</f>
        <v>6.5</v>
      </c>
      <c r="C45" s="119">
        <f>C33/(SQRT(C44))</f>
        <v>7.1203932475671596</v>
      </c>
      <c r="D45" s="1" t="e">
        <f>D33/(SQRT(D44))</f>
        <v>#DIV/0!</v>
      </c>
      <c r="E45" s="8"/>
    </row>
    <row r="46" spans="1:12" x14ac:dyDescent="0.35">
      <c r="A46" s="105"/>
      <c r="B46" s="105"/>
      <c r="C46" s="105"/>
      <c r="D46" s="105"/>
      <c r="E46" s="105"/>
      <c r="F46" s="105"/>
      <c r="G46" s="105"/>
      <c r="H46" s="105"/>
      <c r="I46" s="105"/>
      <c r="J46" s="105"/>
      <c r="K46" s="105"/>
      <c r="L46" s="105"/>
    </row>
    <row r="47" spans="1:12" x14ac:dyDescent="0.35">
      <c r="A47" s="105"/>
      <c r="B47" s="105"/>
      <c r="C47" s="105"/>
      <c r="D47" s="105"/>
      <c r="E47" s="105"/>
      <c r="F47" s="105"/>
      <c r="G47" s="105"/>
      <c r="H47" s="105"/>
      <c r="I47" s="105"/>
      <c r="J47" s="105"/>
      <c r="K47" s="105"/>
      <c r="L47" s="105"/>
    </row>
    <row r="48" spans="1:12" x14ac:dyDescent="0.35">
      <c r="A48" t="s">
        <v>251</v>
      </c>
    </row>
    <row r="49" spans="1:6" x14ac:dyDescent="0.35">
      <c r="A49" t="s">
        <v>22</v>
      </c>
      <c r="B49" s="1">
        <v>76</v>
      </c>
      <c r="C49">
        <v>76</v>
      </c>
      <c r="D49">
        <v>76</v>
      </c>
      <c r="F49" t="e">
        <f>((D49-D51)/(B52/SQRT(C63)))</f>
        <v>#DIV/0!</v>
      </c>
    </row>
    <row r="50" spans="1:6" x14ac:dyDescent="0.35">
      <c r="A50" t="s">
        <v>24</v>
      </c>
      <c r="F50" t="e">
        <f>B52/SQRT(C63)</f>
        <v>#DIV/0!</v>
      </c>
    </row>
    <row r="51" spans="1:6" x14ac:dyDescent="0.35">
      <c r="A51" t="s">
        <v>25</v>
      </c>
      <c r="B51">
        <v>69</v>
      </c>
      <c r="C51">
        <f>B51</f>
        <v>69</v>
      </c>
      <c r="D51">
        <f>B51</f>
        <v>69</v>
      </c>
      <c r="E51">
        <f>C51</f>
        <v>69</v>
      </c>
      <c r="F51">
        <f>(D49-D51)/D52</f>
        <v>2.5</v>
      </c>
    </row>
    <row r="52" spans="1:6" x14ac:dyDescent="0.35">
      <c r="A52" t="s">
        <v>26</v>
      </c>
      <c r="B52">
        <v>2.8</v>
      </c>
      <c r="C52" s="1">
        <f>B64</f>
        <v>0.55999999999999994</v>
      </c>
      <c r="D52" s="1">
        <f>B52</f>
        <v>2.8</v>
      </c>
      <c r="E52" s="1">
        <f>D64</f>
        <v>0.77658027471532076</v>
      </c>
    </row>
    <row r="53" spans="1:6" x14ac:dyDescent="0.35">
      <c r="A53" t="s">
        <v>27</v>
      </c>
    </row>
    <row r="54" spans="1:6" x14ac:dyDescent="0.35">
      <c r="A54" t="s">
        <v>29</v>
      </c>
      <c r="B54" s="1">
        <f>_xlfn.NORM.DIST(B49,B51,B52,TRUE)</f>
        <v>0.99379033467422384</v>
      </c>
      <c r="C54" s="1">
        <f>_xlfn.NORM.DIST(C49,C51,C52,TRUE)</f>
        <v>1</v>
      </c>
      <c r="D54" s="1">
        <f>_xlfn.NORM.DIST(D49,D51,D52,TRUE)</f>
        <v>0.99379033467422384</v>
      </c>
      <c r="E54" s="1">
        <f>_xlfn.NORM.DIST(E49,E51,E52,TRUE)</f>
        <v>0</v>
      </c>
      <c r="F54" s="1"/>
    </row>
    <row r="55" spans="1:6" x14ac:dyDescent="0.35">
      <c r="A55" t="s">
        <v>253</v>
      </c>
      <c r="B55" s="1">
        <f>_xlfn.NORM.DIST(B49,B51,B52,TRUE)</f>
        <v>0.99379033467422384</v>
      </c>
      <c r="C55" s="1">
        <f>_xlfn.NORM.DIST(C49,C51,C52,TRUE)</f>
        <v>1</v>
      </c>
      <c r="D55" s="1">
        <f>_xlfn.NORM.DIST(D49,D51,D52,TRUE)</f>
        <v>0.99379033467422384</v>
      </c>
      <c r="E55" s="1">
        <f>_xlfn.NORM.DIST(E49,E51,E52,TRUE)</f>
        <v>0</v>
      </c>
      <c r="F55" s="1"/>
    </row>
    <row r="56" spans="1:6" x14ac:dyDescent="0.35">
      <c r="A56" t="s">
        <v>255</v>
      </c>
      <c r="B56" s="1">
        <f>1-_xlfn.NORM.DIST(B49,B51,B52,TRUE)</f>
        <v>6.2096653257761592E-3</v>
      </c>
      <c r="C56" s="1">
        <f>1-_xlfn.NORM.DIST(C49,C51,C52,TRUE)</f>
        <v>0</v>
      </c>
      <c r="D56" s="1">
        <f>1-_xlfn.NORM.DIST(D49,D51,D52,TRUE)</f>
        <v>6.2096653257761592E-3</v>
      </c>
      <c r="E56" s="37">
        <f>1-_xlfn.NORM.DIST(E49,E51,E52,TRUE)</f>
        <v>1</v>
      </c>
      <c r="F56" s="1"/>
    </row>
    <row r="57" spans="1:6" x14ac:dyDescent="0.35">
      <c r="A57" t="s">
        <v>35</v>
      </c>
      <c r="B57" s="34">
        <f>_xlfn.NORM.DIST(B50,B51,B52,TRUE)-_xlfn.NORM.DIST(B49,B51,B52,TRUE)</f>
        <v>-0.99379033467422384</v>
      </c>
      <c r="C57" s="34">
        <f>_xlfn.NORM.DIST(C50,C51,C52,TRUE)-_xlfn.NORM.DIST(C49,C51,C52,TRUE)</f>
        <v>-1</v>
      </c>
      <c r="D57" s="34">
        <f>_xlfn.NORM.DIST(D50,D51,D52,TRUE)-_xlfn.NORM.DIST(D49,D51,D52,TRUE)</f>
        <v>-0.99379033467422384</v>
      </c>
      <c r="E57" s="34">
        <f>_xlfn.NORM.DIST(E50,E51,E52,TRUE)-_xlfn.NORM.DIST(E49,E51,E52,TRUE)</f>
        <v>0</v>
      </c>
      <c r="F57" s="34"/>
    </row>
    <row r="58" spans="1:6" x14ac:dyDescent="0.35">
      <c r="A58" t="s">
        <v>37</v>
      </c>
      <c r="B58" s="2" t="e">
        <f>_xlfn.NORM.INV(B53,B51,B52)</f>
        <v>#NUM!</v>
      </c>
      <c r="C58" s="1" t="e">
        <f>_xlfn.NORM.INV(C53,C51,C52)</f>
        <v>#NUM!</v>
      </c>
      <c r="D58" s="2" t="e">
        <f>_xlfn.NORM.INV(D53,D51,D52)</f>
        <v>#NUM!</v>
      </c>
      <c r="E58" s="2" t="e">
        <f>_xlfn.NORM.INV(E53,E51,E52)</f>
        <v>#NUM!</v>
      </c>
      <c r="F58" s="2"/>
    </row>
    <row r="59" spans="1:6" x14ac:dyDescent="0.35">
      <c r="A59" t="s">
        <v>38</v>
      </c>
      <c r="B59" s="2" t="e">
        <f>_xlfn.NORM.INV(1-B53,B51,B52)</f>
        <v>#NUM!</v>
      </c>
      <c r="C59" s="1" t="e">
        <f>_xlfn.NORM.INV(1-C53,C51,C52)</f>
        <v>#NUM!</v>
      </c>
      <c r="D59" s="2" t="e">
        <f>_xlfn.NORM.INV(1-D53,D51,D52)</f>
        <v>#NUM!</v>
      </c>
      <c r="E59" s="2" t="e">
        <f>_xlfn.NORM.INV(1-E53,E51,E52)</f>
        <v>#NUM!</v>
      </c>
      <c r="F59" s="2"/>
    </row>
    <row r="60" spans="1:6" x14ac:dyDescent="0.35">
      <c r="A60" t="s">
        <v>39</v>
      </c>
      <c r="B60" s="2" t="e">
        <f>_xlfn.NORM.INV(B53,B51,B52*2)</f>
        <v>#NUM!</v>
      </c>
      <c r="C60" s="1" t="e">
        <f>_xlfn.NORM.INV(C53,C51,C52*2)</f>
        <v>#NUM!</v>
      </c>
      <c r="D60" s="2" t="e">
        <f>_xlfn.NORM.INV(D53,D51,D52*2)</f>
        <v>#NUM!</v>
      </c>
      <c r="E60" s="2" t="e">
        <f>_xlfn.NORM.INV(E53,E51,E52*2)</f>
        <v>#NUM!</v>
      </c>
      <c r="F60" s="2"/>
    </row>
    <row r="61" spans="1:6" x14ac:dyDescent="0.35">
      <c r="A61" t="s">
        <v>40</v>
      </c>
      <c r="B61" s="2" t="e">
        <f>_xlfn.NORM.INV(1-B53,B51,B52*2)</f>
        <v>#NUM!</v>
      </c>
      <c r="C61" s="1" t="e">
        <f>_xlfn.NORM.INV(1-C53,C51,C52*2)</f>
        <v>#NUM!</v>
      </c>
      <c r="D61" s="2" t="e">
        <f>_xlfn.NORM.INV(1-D53,D51,D52*2)</f>
        <v>#NUM!</v>
      </c>
      <c r="E61" s="2" t="e">
        <f>_xlfn.NORM.INV(1-E53,E51,E52*2)</f>
        <v>#NUM!</v>
      </c>
      <c r="F61" s="2"/>
    </row>
    <row r="62" spans="1:6" x14ac:dyDescent="0.35">
      <c r="A62" t="s">
        <v>41</v>
      </c>
      <c r="B62" s="8">
        <f>B51+(B48*B52)</f>
        <v>69</v>
      </c>
      <c r="C62" s="8">
        <f>C51+(C48*C52)</f>
        <v>69</v>
      </c>
      <c r="D62" s="8">
        <f>D51+(D48*D52)</f>
        <v>69</v>
      </c>
      <c r="E62" s="8">
        <f>E51+(E48*E52)</f>
        <v>69</v>
      </c>
      <c r="F62" s="8"/>
    </row>
    <row r="63" spans="1:6" x14ac:dyDescent="0.35">
      <c r="A63" t="s">
        <v>42</v>
      </c>
      <c r="B63" s="8">
        <v>25</v>
      </c>
      <c r="C63" s="8"/>
      <c r="D63" s="8">
        <v>13</v>
      </c>
      <c r="E63" s="8"/>
      <c r="F63" s="8"/>
    </row>
    <row r="64" spans="1:6" x14ac:dyDescent="0.35">
      <c r="A64" t="s">
        <v>258</v>
      </c>
      <c r="B64" s="1">
        <f>B52/(SQRT(B63))</f>
        <v>0.55999999999999994</v>
      </c>
      <c r="C64" s="1" t="e">
        <f>C52/(SQRT(C63))</f>
        <v>#DIV/0!</v>
      </c>
      <c r="D64" s="1">
        <f>D52/(SQRT(D63))</f>
        <v>0.77658027471532076</v>
      </c>
      <c r="E64" s="1" t="e">
        <f>E52/(SQRT(E63))</f>
        <v>#DIV/0!</v>
      </c>
      <c r="F64" s="8"/>
    </row>
    <row r="65" spans="1:6" x14ac:dyDescent="0.35">
      <c r="A65" s="105"/>
      <c r="B65" s="105"/>
      <c r="C65" s="105"/>
      <c r="D65" s="105"/>
      <c r="E65" s="105"/>
      <c r="F65" s="105"/>
    </row>
    <row r="66" spans="1:6" x14ac:dyDescent="0.35">
      <c r="A66" s="28" t="s">
        <v>259</v>
      </c>
      <c r="B66" s="28"/>
      <c r="D66" t="s">
        <v>260</v>
      </c>
    </row>
    <row r="67" spans="1:6" x14ac:dyDescent="0.35">
      <c r="A67" s="28" t="s">
        <v>261</v>
      </c>
      <c r="B67" s="118" t="e">
        <f>(B69-B70)*B71</f>
        <v>#DIV/0!</v>
      </c>
      <c r="D67" t="s">
        <v>262</v>
      </c>
      <c r="E67">
        <v>49</v>
      </c>
    </row>
    <row r="68" spans="1:6" x14ac:dyDescent="0.35">
      <c r="A68" s="28" t="s">
        <v>263</v>
      </c>
      <c r="B68" s="118" t="e">
        <f>(B69-B70)*B71</f>
        <v>#DIV/0!</v>
      </c>
      <c r="D68" t="s">
        <v>264</v>
      </c>
      <c r="E68">
        <v>54</v>
      </c>
    </row>
    <row r="69" spans="1:6" x14ac:dyDescent="0.35">
      <c r="A69" s="28" t="s">
        <v>265</v>
      </c>
      <c r="B69" s="28">
        <v>0</v>
      </c>
      <c r="D69" t="s">
        <v>266</v>
      </c>
      <c r="E69">
        <f>E68-E67</f>
        <v>5</v>
      </c>
    </row>
    <row r="70" spans="1:6" x14ac:dyDescent="0.35">
      <c r="A70" s="28" t="s">
        <v>44</v>
      </c>
      <c r="B70" s="28">
        <v>0.13139999999999999</v>
      </c>
      <c r="D70" t="s">
        <v>267</v>
      </c>
      <c r="E70">
        <v>50.75</v>
      </c>
    </row>
    <row r="71" spans="1:6" x14ac:dyDescent="0.35">
      <c r="A71" s="28" t="s">
        <v>268</v>
      </c>
      <c r="B71" s="78" t="e">
        <f>1/B69</f>
        <v>#DIV/0!</v>
      </c>
      <c r="D71" t="s">
        <v>269</v>
      </c>
      <c r="E71">
        <v>51.25</v>
      </c>
    </row>
    <row r="72" spans="1:6" x14ac:dyDescent="0.35">
      <c r="A72" s="28" t="s">
        <v>270</v>
      </c>
      <c r="B72" s="28">
        <f>B69-B70</f>
        <v>-0.13139999999999999</v>
      </c>
      <c r="D72" t="s">
        <v>271</v>
      </c>
      <c r="E72">
        <f>1/E69</f>
        <v>0.2</v>
      </c>
    </row>
    <row r="73" spans="1:6" x14ac:dyDescent="0.35">
      <c r="A73" s="28"/>
      <c r="B73" s="28"/>
      <c r="D73" t="s">
        <v>272</v>
      </c>
      <c r="E73" s="61">
        <f>(E71-E70)*E72</f>
        <v>0.1</v>
      </c>
    </row>
    <row r="76" spans="1:6" x14ac:dyDescent="0.35">
      <c r="A76" t="s">
        <v>22</v>
      </c>
      <c r="D76" t="s">
        <v>44</v>
      </c>
      <c r="E76">
        <v>0.13139999999999999</v>
      </c>
    </row>
    <row r="77" spans="1:6" x14ac:dyDescent="0.35">
      <c r="A77" t="s">
        <v>24</v>
      </c>
      <c r="D77" t="s">
        <v>274</v>
      </c>
      <c r="E77">
        <v>0</v>
      </c>
    </row>
    <row r="78" spans="1:6" x14ac:dyDescent="0.35">
      <c r="A78" t="s">
        <v>25</v>
      </c>
      <c r="B78">
        <v>0</v>
      </c>
      <c r="D78" t="s">
        <v>230</v>
      </c>
      <c r="E78">
        <v>1</v>
      </c>
    </row>
    <row r="79" spans="1:6" x14ac:dyDescent="0.35">
      <c r="A79" t="s">
        <v>26</v>
      </c>
      <c r="B79">
        <v>1</v>
      </c>
      <c r="E79">
        <f>1/2*(1+ERF(E76-E77,E78))</f>
        <v>0.84764035203816646</v>
      </c>
    </row>
    <row r="80" spans="1:6" x14ac:dyDescent="0.35">
      <c r="A80" t="s">
        <v>275</v>
      </c>
      <c r="B80">
        <f>_xlfn.NORM.DIST(B76,B78,B79,TRUE)</f>
        <v>0.5</v>
      </c>
    </row>
    <row r="81" spans="1:2" x14ac:dyDescent="0.35">
      <c r="A81" t="s">
        <v>276</v>
      </c>
      <c r="B81">
        <f>_xlfn.NORM.DIST(B76,B78,B79,TRUE)</f>
        <v>0.5</v>
      </c>
    </row>
    <row r="82" spans="1:2" x14ac:dyDescent="0.35">
      <c r="A82" t="s">
        <v>277</v>
      </c>
      <c r="B82">
        <f>1-_xlfn.NORM.DIST(B76,B78,B79,TRUE)</f>
        <v>0.5</v>
      </c>
    </row>
    <row r="83" spans="1:2" x14ac:dyDescent="0.35">
      <c r="A83" t="s">
        <v>278</v>
      </c>
      <c r="B83">
        <f>_xlfn.NORM.DIST(B77,B78,B79,TRUE)-_xlfn.NORM.DIST(B76,B78,B79,TRUE)</f>
        <v>0</v>
      </c>
    </row>
  </sheetData>
  <pageMargins left="0.7" right="0.7" top="0.75" bottom="0.75" header="0.3" footer="0.3"/>
  <pageSetup orientation="portrait" verticalDpi="300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8AFC3-C1C7-44F7-9BD7-90BD6BDE1DB3}">
  <dimension ref="A1:H41"/>
  <sheetViews>
    <sheetView workbookViewId="0">
      <selection activeCell="D33" sqref="D33"/>
    </sheetView>
  </sheetViews>
  <sheetFormatPr defaultRowHeight="14.5" x14ac:dyDescent="0.35"/>
  <cols>
    <col min="1" max="1" width="15.81640625" customWidth="1"/>
    <col min="2" max="2" width="10.81640625" bestFit="1" customWidth="1"/>
    <col min="3" max="3" width="21.453125" customWidth="1"/>
    <col min="4" max="4" width="10.81640625" bestFit="1" customWidth="1"/>
    <col min="5" max="5" width="11.81640625" bestFit="1" customWidth="1"/>
    <col min="6" max="6" width="11.81640625" customWidth="1"/>
    <col min="7" max="7" width="8.81640625" bestFit="1" customWidth="1"/>
    <col min="8" max="8" width="11.81640625" bestFit="1" customWidth="1"/>
  </cols>
  <sheetData>
    <row r="1" spans="1:8" x14ac:dyDescent="0.35">
      <c r="A1" t="s">
        <v>44</v>
      </c>
      <c r="B1" t="s">
        <v>46</v>
      </c>
      <c r="C1" t="s">
        <v>47</v>
      </c>
      <c r="D1" t="s">
        <v>48</v>
      </c>
      <c r="E1" t="s">
        <v>49</v>
      </c>
      <c r="F1" t="s">
        <v>49</v>
      </c>
      <c r="G1" t="s">
        <v>50</v>
      </c>
      <c r="H1" t="s">
        <v>51</v>
      </c>
    </row>
    <row r="2" spans="1:8" x14ac:dyDescent="0.35">
      <c r="A2">
        <v>0</v>
      </c>
      <c r="B2" s="1">
        <f>_xlfn.BINOM.DIST.RANGE(15,0.88,A2)</f>
        <v>1.5407021574586395E-14</v>
      </c>
      <c r="C2" s="1">
        <f>A2*B2</f>
        <v>0</v>
      </c>
      <c r="E2" s="1">
        <f>(A2-D$5)^2*B2</f>
        <v>2.684519439155934E-12</v>
      </c>
      <c r="F2" s="1">
        <f>((A2-$D$5)^2)*B2</f>
        <v>2.684519439155934E-12</v>
      </c>
      <c r="G2">
        <f>SUM(E2:E17)</f>
        <v>1.5840000000000003</v>
      </c>
      <c r="H2" s="37">
        <f>SQRT(G2)</f>
        <v>1.258570617804182</v>
      </c>
    </row>
    <row r="3" spans="1:8" x14ac:dyDescent="0.35">
      <c r="A3">
        <v>1</v>
      </c>
      <c r="B3" s="1">
        <f t="shared" ref="B3:B17" si="0">_xlfn.BINOM.DIST.RANGE(15,0.88,A3)</f>
        <v>1.6947723732045015E-12</v>
      </c>
      <c r="C3" s="1">
        <f t="shared" ref="C3:C17" si="1">A3*B3</f>
        <v>1.6947723732045015E-12</v>
      </c>
      <c r="E3" s="1">
        <f t="shared" ref="E3:E17" si="2">(A3-D$5)^2*B3</f>
        <v>2.5224992002775805E-10</v>
      </c>
      <c r="F3" s="1">
        <f t="shared" ref="F3:F17" si="3">((A3-$D$5)^2)*B3</f>
        <v>2.5224992002775805E-10</v>
      </c>
      <c r="G3" cm="1">
        <f t="array" ref="G3">SUM(((A2:A17)-D5)^2)*SUM(C2:C17)</f>
        <v>11349.888000000004</v>
      </c>
      <c r="H3" s="1">
        <f>SQRT(A17*B21*B22)</f>
        <v>1.2585706178041818</v>
      </c>
    </row>
    <row r="4" spans="1:8" x14ac:dyDescent="0.35">
      <c r="A4">
        <v>2</v>
      </c>
      <c r="B4" s="1">
        <f t="shared" si="0"/>
        <v>8.699831515783074E-11</v>
      </c>
      <c r="C4" s="1">
        <f t="shared" si="1"/>
        <v>1.7399663031566148E-10</v>
      </c>
      <c r="E4" s="1">
        <f t="shared" si="2"/>
        <v>1.0913068653398291E-8</v>
      </c>
      <c r="F4" s="1">
        <f t="shared" si="3"/>
        <v>1.0913068653398291E-8</v>
      </c>
    </row>
    <row r="5" spans="1:8" x14ac:dyDescent="0.35">
      <c r="A5">
        <v>3</v>
      </c>
      <c r="B5" s="1">
        <f t="shared" si="0"/>
        <v>2.7646131261266301E-9</v>
      </c>
      <c r="C5" s="1">
        <f t="shared" si="1"/>
        <v>8.2938393783798908E-9</v>
      </c>
      <c r="D5" s="61">
        <f>SUM(C2:C17)</f>
        <v>13.200000000000001</v>
      </c>
      <c r="E5" s="1">
        <f t="shared" si="2"/>
        <v>2.8763034964221465E-7</v>
      </c>
      <c r="F5" s="1">
        <f t="shared" si="3"/>
        <v>2.8763034964221465E-7</v>
      </c>
      <c r="G5">
        <f>SUM(E2:E11)</f>
        <v>0.11089471975472026</v>
      </c>
      <c r="H5">
        <f>SQRT(G5)</f>
        <v>0.33300858810955652</v>
      </c>
    </row>
    <row r="6" spans="1:8" x14ac:dyDescent="0.35">
      <c r="A6">
        <v>4</v>
      </c>
      <c r="B6" s="1">
        <f t="shared" si="0"/>
        <v>6.0821488774785863E-8</v>
      </c>
      <c r="C6" s="1">
        <f t="shared" si="1"/>
        <v>2.4328595509914345E-7</v>
      </c>
      <c r="E6" s="1">
        <f t="shared" si="2"/>
        <v>5.1479308098978767E-6</v>
      </c>
      <c r="F6" s="1">
        <f t="shared" si="3"/>
        <v>5.1479308098978767E-6</v>
      </c>
    </row>
    <row r="7" spans="1:8" x14ac:dyDescent="0.35">
      <c r="A7">
        <v>5</v>
      </c>
      <c r="B7" s="1">
        <f t="shared" si="0"/>
        <v>9.8125335223321084E-7</v>
      </c>
      <c r="C7" s="1">
        <f t="shared" si="1"/>
        <v>4.906266761166054E-6</v>
      </c>
      <c r="E7" s="1">
        <f t="shared" si="2"/>
        <v>6.5979475404161119E-5</v>
      </c>
      <c r="F7" s="1">
        <f t="shared" si="3"/>
        <v>6.5979475404161119E-5</v>
      </c>
      <c r="H7" s="1">
        <f>_xlfn.BINOM.DIST.RANGE(F20,F21,E2,E10)</f>
        <v>8.9161004482560054E-12</v>
      </c>
    </row>
    <row r="8" spans="1:8" x14ac:dyDescent="0.35">
      <c r="A8">
        <v>6</v>
      </c>
      <c r="B8" s="1">
        <f t="shared" si="0"/>
        <v>1.1993096527294816E-5</v>
      </c>
      <c r="C8" s="1">
        <f t="shared" si="1"/>
        <v>7.1958579163768896E-5</v>
      </c>
      <c r="E8" s="1">
        <f t="shared" si="2"/>
        <v>6.2172212397496344E-4</v>
      </c>
      <c r="F8" s="1">
        <f t="shared" si="3"/>
        <v>6.2172212397496344E-4</v>
      </c>
    </row>
    <row r="9" spans="1:8" x14ac:dyDescent="0.35">
      <c r="A9">
        <v>7</v>
      </c>
      <c r="B9" s="1">
        <f t="shared" si="0"/>
        <v>1.130777672573512E-4</v>
      </c>
      <c r="C9" s="1">
        <f t="shared" si="1"/>
        <v>7.9154437080145837E-4</v>
      </c>
      <c r="E9" s="1">
        <f t="shared" si="2"/>
        <v>4.3467093733725818E-3</v>
      </c>
      <c r="F9" s="1">
        <f t="shared" si="3"/>
        <v>4.3467093733725818E-3</v>
      </c>
    </row>
    <row r="10" spans="1:8" x14ac:dyDescent="0.35">
      <c r="A10">
        <v>8</v>
      </c>
      <c r="B10" s="1">
        <f t="shared" si="0"/>
        <v>8.2923695988724208E-4</v>
      </c>
      <c r="C10" s="1">
        <f t="shared" si="1"/>
        <v>6.6338956790979366E-3</v>
      </c>
      <c r="E10" s="1">
        <f t="shared" si="2"/>
        <v>2.2422567395351034E-2</v>
      </c>
      <c r="F10" s="1">
        <f t="shared" si="3"/>
        <v>2.2422567395351034E-2</v>
      </c>
    </row>
    <row r="11" spans="1:8" x14ac:dyDescent="0.35">
      <c r="A11">
        <v>9</v>
      </c>
      <c r="B11" s="1">
        <f t="shared" si="0"/>
        <v>4.7297219193568512E-3</v>
      </c>
      <c r="C11" s="1">
        <f t="shared" si="1"/>
        <v>4.2567497274211663E-2</v>
      </c>
      <c r="E11" s="1">
        <f t="shared" si="2"/>
        <v>8.3432294657454886E-2</v>
      </c>
      <c r="F11" s="1">
        <f t="shared" si="3"/>
        <v>8.3432294657454886E-2</v>
      </c>
    </row>
    <row r="12" spans="1:8" x14ac:dyDescent="0.35">
      <c r="A12">
        <v>10</v>
      </c>
      <c r="B12" s="1">
        <f t="shared" si="0"/>
        <v>2.0810776445170192E-2</v>
      </c>
      <c r="C12" s="1">
        <f t="shared" si="1"/>
        <v>0.20810776445170193</v>
      </c>
      <c r="E12" s="1">
        <f t="shared" si="2"/>
        <v>0.21310235079854292</v>
      </c>
      <c r="F12" s="1">
        <f t="shared" si="3"/>
        <v>0.21310235079854292</v>
      </c>
    </row>
    <row r="13" spans="1:8" x14ac:dyDescent="0.35">
      <c r="A13">
        <v>11</v>
      </c>
      <c r="B13" s="1">
        <f t="shared" si="0"/>
        <v>6.9369254817233925E-2</v>
      </c>
      <c r="C13" s="1">
        <f t="shared" si="1"/>
        <v>0.76306180298957316</v>
      </c>
      <c r="E13" s="1">
        <f t="shared" si="2"/>
        <v>0.33574719331541247</v>
      </c>
      <c r="F13" s="1">
        <f t="shared" si="3"/>
        <v>0.33574719331541247</v>
      </c>
    </row>
    <row r="14" spans="1:8" x14ac:dyDescent="0.35">
      <c r="A14">
        <v>12</v>
      </c>
      <c r="B14" s="1">
        <f t="shared" si="0"/>
        <v>0.16956928955323847</v>
      </c>
      <c r="C14" s="1">
        <f t="shared" si="1"/>
        <v>2.0348314746388616</v>
      </c>
      <c r="E14" s="1">
        <f t="shared" si="2"/>
        <v>0.24417977695666385</v>
      </c>
      <c r="F14" s="1">
        <f t="shared" si="3"/>
        <v>0.24417977695666385</v>
      </c>
    </row>
    <row r="15" spans="1:8" x14ac:dyDescent="0.35">
      <c r="A15">
        <v>13</v>
      </c>
      <c r="B15" s="1">
        <f t="shared" si="0"/>
        <v>0.28696341309009588</v>
      </c>
      <c r="C15" s="1">
        <f t="shared" si="1"/>
        <v>3.7305243701712465</v>
      </c>
      <c r="E15" s="1">
        <f t="shared" si="2"/>
        <v>1.1478536523603956E-2</v>
      </c>
      <c r="F15" s="1">
        <f t="shared" si="3"/>
        <v>1.1478536523603956E-2</v>
      </c>
    </row>
    <row r="16" spans="1:8" x14ac:dyDescent="0.35">
      <c r="A16">
        <v>14</v>
      </c>
      <c r="B16" s="1">
        <f t="shared" si="0"/>
        <v>0.30062833752295764</v>
      </c>
      <c r="C16" s="1">
        <f t="shared" si="1"/>
        <v>4.2087967253214069</v>
      </c>
      <c r="E16" s="1">
        <f t="shared" si="2"/>
        <v>0.19240213601469239</v>
      </c>
      <c r="F16" s="1">
        <f t="shared" si="3"/>
        <v>0.19240213601469239</v>
      </c>
    </row>
    <row r="17" spans="1:7" x14ac:dyDescent="0.35">
      <c r="A17">
        <v>15</v>
      </c>
      <c r="B17" s="1">
        <f t="shared" si="0"/>
        <v>0.14697385390011264</v>
      </c>
      <c r="C17" s="1">
        <f t="shared" si="1"/>
        <v>2.2046078085016898</v>
      </c>
      <c r="E17" s="1">
        <f t="shared" si="2"/>
        <v>0.4761952866363644</v>
      </c>
      <c r="F17" s="1">
        <f t="shared" si="3"/>
        <v>0.4761952866363644</v>
      </c>
    </row>
    <row r="18" spans="1:7" ht="15" thickBot="1" x14ac:dyDescent="0.4">
      <c r="C18" s="123">
        <f>SUM(C2:C17)</f>
        <v>13.200000000000001</v>
      </c>
    </row>
    <row r="19" spans="1:7" x14ac:dyDescent="0.35">
      <c r="A19" s="124" t="s">
        <v>6</v>
      </c>
      <c r="B19" s="125">
        <v>15</v>
      </c>
      <c r="C19" s="126" t="s">
        <v>6</v>
      </c>
      <c r="D19" s="127">
        <v>180</v>
      </c>
      <c r="E19" s="42" t="s">
        <v>6</v>
      </c>
      <c r="F19">
        <v>15</v>
      </c>
      <c r="G19">
        <f>F19*0.82</f>
        <v>12.299999999999999</v>
      </c>
    </row>
    <row r="20" spans="1:7" x14ac:dyDescent="0.35">
      <c r="A20" s="128" t="s">
        <v>44</v>
      </c>
      <c r="B20" s="12">
        <v>12</v>
      </c>
      <c r="C20" s="129" t="s">
        <v>44</v>
      </c>
      <c r="D20" s="130">
        <v>160</v>
      </c>
      <c r="E20" s="42" t="s">
        <v>44</v>
      </c>
      <c r="F20">
        <v>12</v>
      </c>
    </row>
    <row r="21" spans="1:7" x14ac:dyDescent="0.35">
      <c r="A21" s="128" t="s">
        <v>0</v>
      </c>
      <c r="B21" s="12">
        <v>0.88</v>
      </c>
      <c r="C21" s="129" t="s">
        <v>0</v>
      </c>
      <c r="D21" s="130">
        <v>0.88</v>
      </c>
      <c r="E21" s="42" t="s">
        <v>0</v>
      </c>
      <c r="F21">
        <v>0.88</v>
      </c>
    </row>
    <row r="22" spans="1:7" x14ac:dyDescent="0.35">
      <c r="A22" s="128" t="s">
        <v>1</v>
      </c>
      <c r="B22" s="12">
        <f>1-B21</f>
        <v>0.12</v>
      </c>
      <c r="C22" s="129" t="s">
        <v>1</v>
      </c>
      <c r="D22" s="130">
        <f>1-D21</f>
        <v>0.12</v>
      </c>
      <c r="E22" s="42" t="s">
        <v>1</v>
      </c>
      <c r="F22">
        <f>1-F21</f>
        <v>0.12</v>
      </c>
    </row>
    <row r="23" spans="1:7" x14ac:dyDescent="0.35">
      <c r="A23" s="131" t="s">
        <v>298</v>
      </c>
      <c r="B23" s="109">
        <f>SUM(B19*B21)</f>
        <v>13.2</v>
      </c>
      <c r="C23" s="131" t="s">
        <v>298</v>
      </c>
      <c r="D23" s="132">
        <f>SUM(D19*D21)</f>
        <v>158.4</v>
      </c>
      <c r="E23" s="42" t="s">
        <v>298</v>
      </c>
      <c r="F23" s="109">
        <f>SUM(F19*F21)</f>
        <v>13.2</v>
      </c>
    </row>
    <row r="24" spans="1:7" x14ac:dyDescent="0.35">
      <c r="A24" s="131" t="s">
        <v>299</v>
      </c>
      <c r="B24" s="12">
        <f>B19*B21*B22</f>
        <v>1.5839999999999999</v>
      </c>
      <c r="C24" s="131" t="s">
        <v>299</v>
      </c>
      <c r="D24" s="130">
        <f>D19*D21*D22</f>
        <v>19.007999999999999</v>
      </c>
      <c r="E24" s="42" t="s">
        <v>299</v>
      </c>
      <c r="F24">
        <f>F20*F21*F22</f>
        <v>1.2672000000000001</v>
      </c>
    </row>
    <row r="25" spans="1:7" x14ac:dyDescent="0.35">
      <c r="A25" s="131" t="s">
        <v>300</v>
      </c>
      <c r="B25" s="109">
        <f>SQRT(B19*B21*B22)</f>
        <v>1.2585706178041818</v>
      </c>
      <c r="C25" s="131" t="s">
        <v>300</v>
      </c>
      <c r="D25" s="132">
        <f>SQRT(D19*D21*D22)</f>
        <v>4.359816509900388</v>
      </c>
      <c r="E25" s="42" t="s">
        <v>300</v>
      </c>
      <c r="F25" s="109">
        <f>SQRT(F19*F21*F22)</f>
        <v>1.2585706178041818</v>
      </c>
    </row>
    <row r="26" spans="1:7" x14ac:dyDescent="0.35">
      <c r="A26" s="131" t="s">
        <v>231</v>
      </c>
      <c r="B26" s="111">
        <f>B23-2*B25</f>
        <v>10.682858764391636</v>
      </c>
      <c r="C26" s="131" t="s">
        <v>231</v>
      </c>
      <c r="D26" s="133">
        <f>D23-2*D25</f>
        <v>149.68036698019924</v>
      </c>
      <c r="E26" s="42" t="s">
        <v>231</v>
      </c>
      <c r="F26" s="111">
        <f>F23-2*F25</f>
        <v>10.682858764391636</v>
      </c>
    </row>
    <row r="27" spans="1:7" x14ac:dyDescent="0.35">
      <c r="A27" s="131" t="s">
        <v>233</v>
      </c>
      <c r="B27" s="111">
        <f>B23+2*B25</f>
        <v>15.717141235608363</v>
      </c>
      <c r="C27" s="131" t="s">
        <v>233</v>
      </c>
      <c r="D27" s="133">
        <f>D23+2*D25</f>
        <v>167.11963301980077</v>
      </c>
      <c r="E27" s="42" t="s">
        <v>233</v>
      </c>
      <c r="F27" s="111">
        <f>F23+2*F25</f>
        <v>15.717141235608363</v>
      </c>
      <c r="G27" t="s">
        <v>301</v>
      </c>
    </row>
    <row r="28" spans="1:7" x14ac:dyDescent="0.35">
      <c r="A28" s="131" t="s">
        <v>302</v>
      </c>
      <c r="B28" s="111">
        <f>B23+3*B25</f>
        <v>16.975711853412545</v>
      </c>
      <c r="C28" s="131" t="s">
        <v>302</v>
      </c>
      <c r="D28" s="134">
        <f>D23+D25*3</f>
        <v>171.47944952970118</v>
      </c>
      <c r="E28" s="42" t="s">
        <v>303</v>
      </c>
      <c r="F28" s="135">
        <f>F23-3*F25</f>
        <v>9.424288146587454</v>
      </c>
    </row>
    <row r="29" spans="1:7" x14ac:dyDescent="0.35">
      <c r="A29" s="128"/>
      <c r="B29" s="40">
        <f>_xlfn.BINOM.DIST.RANGE(B19,B21,12)</f>
        <v>0.16956928955323847</v>
      </c>
      <c r="C29" s="131" t="s">
        <v>304</v>
      </c>
      <c r="D29" s="136">
        <f>_xlfn.BINOM.DIST.RANGE(D19,0.88,0,148)</f>
        <v>1.4936772509928885E-2</v>
      </c>
      <c r="E29" s="42" t="s">
        <v>302</v>
      </c>
      <c r="F29" s="135">
        <f>F23+3*F25</f>
        <v>16.975711853412545</v>
      </c>
    </row>
    <row r="30" spans="1:7" x14ac:dyDescent="0.35">
      <c r="A30" s="131" t="s">
        <v>305</v>
      </c>
      <c r="B30" s="40">
        <f>_xlfn.BINOM.DIST.RANGE(15,0.88,12,15)</f>
        <v>0.90413489406640446</v>
      </c>
      <c r="C30" s="131" t="s">
        <v>306</v>
      </c>
      <c r="D30" s="137">
        <f>_xlfn.BINOM.DIST.RANGE(D19,0.88,160,180)</f>
        <v>0.41113841108518767</v>
      </c>
      <c r="E30" s="42"/>
    </row>
    <row r="31" spans="1:7" ht="15" thickBot="1" x14ac:dyDescent="0.4">
      <c r="A31" s="131" t="s">
        <v>307</v>
      </c>
      <c r="B31" s="138">
        <f>_xlfn.BINOM.DIST.RANGE(15,0.88,0,9)</f>
        <v>5.6850746711913699E-3</v>
      </c>
      <c r="C31" s="139" t="s">
        <v>308</v>
      </c>
      <c r="D31" s="140">
        <f>_xlfn.BINOM.DIST.RANGE(15,0.88,9)</f>
        <v>4.7297219193568512E-3</v>
      </c>
      <c r="E31" s="42" t="s">
        <v>6</v>
      </c>
      <c r="F31">
        <v>15</v>
      </c>
    </row>
    <row r="32" spans="1:7" ht="15" thickBot="1" x14ac:dyDescent="0.4">
      <c r="A32" s="139" t="s">
        <v>308</v>
      </c>
      <c r="B32" s="141">
        <f>_xlfn.BINOM.DIST.RANGE(15,0.88,9)</f>
        <v>4.7297219193568512E-3</v>
      </c>
      <c r="E32" s="42" t="s">
        <v>44</v>
      </c>
      <c r="F32">
        <v>12</v>
      </c>
      <c r="G32">
        <f>15*0.82</f>
        <v>12.299999999999999</v>
      </c>
    </row>
    <row r="33" spans="1:6" x14ac:dyDescent="0.35">
      <c r="A33" s="142" t="s">
        <v>309</v>
      </c>
      <c r="B33" s="1">
        <f>_xlfn.BINOM.DIST.RANGE(B19,B21,B20)</f>
        <v>0.16956928955323847</v>
      </c>
      <c r="C33">
        <f>9/15</f>
        <v>0.6</v>
      </c>
      <c r="E33" s="42" t="s">
        <v>0</v>
      </c>
      <c r="F33">
        <v>0.82</v>
      </c>
    </row>
    <row r="34" spans="1:6" x14ac:dyDescent="0.35">
      <c r="B34" s="1">
        <f>1-B30</f>
        <v>9.586510593359554E-2</v>
      </c>
      <c r="C34">
        <f>20*0.6</f>
        <v>12</v>
      </c>
      <c r="E34" s="42" t="s">
        <v>1</v>
      </c>
      <c r="F34">
        <f>1-F33</f>
        <v>0.18000000000000005</v>
      </c>
    </row>
    <row r="35" spans="1:6" x14ac:dyDescent="0.35">
      <c r="E35" s="42" t="s">
        <v>298</v>
      </c>
      <c r="F35" s="109">
        <f>SUM(F31*F33)</f>
        <v>12.299999999999999</v>
      </c>
    </row>
    <row r="36" spans="1:6" x14ac:dyDescent="0.35">
      <c r="E36" s="42" t="s">
        <v>299</v>
      </c>
      <c r="F36">
        <f>F32*F33*F34</f>
        <v>1.7712000000000006</v>
      </c>
    </row>
    <row r="37" spans="1:6" x14ac:dyDescent="0.35">
      <c r="A37" s="1">
        <f>_xlfn.BINOM.DIST.RANGE(16,0.88, 12,16)</f>
        <v>0.96517983830557041</v>
      </c>
      <c r="B37" s="143">
        <f>1-A37</f>
        <v>3.4820161694429586E-2</v>
      </c>
      <c r="E37" s="42" t="s">
        <v>300</v>
      </c>
      <c r="F37" s="109">
        <f>SQRT(F31*F33*F34)</f>
        <v>1.4879516121164695</v>
      </c>
    </row>
    <row r="38" spans="1:6" x14ac:dyDescent="0.35">
      <c r="A38">
        <f>_xlfn.BINOM.DIST.RANGE(194,0.88,160,194)</f>
        <v>0.99089696531037585</v>
      </c>
      <c r="B38">
        <f>1-A38</f>
        <v>9.1030346896241454E-3</v>
      </c>
      <c r="E38" s="42" t="s">
        <v>231</v>
      </c>
      <c r="F38" s="111">
        <f>F35-2*F37</f>
        <v>9.3240967757670603</v>
      </c>
    </row>
    <row r="39" spans="1:6" x14ac:dyDescent="0.35">
      <c r="A39">
        <f>_xlfn.BINOM.DIST.RANGE(195,0.88,160,195)</f>
        <v>0.99427439034458587</v>
      </c>
      <c r="B39">
        <f>1-A39</f>
        <v>5.7256096554141322E-3</v>
      </c>
      <c r="E39" s="42" t="s">
        <v>233</v>
      </c>
      <c r="F39" s="111">
        <f>F35+2*F37</f>
        <v>15.275903224232938</v>
      </c>
    </row>
    <row r="40" spans="1:6" x14ac:dyDescent="0.35">
      <c r="E40" s="42" t="s">
        <v>303</v>
      </c>
      <c r="F40" s="135">
        <f>F35-3*F37</f>
        <v>7.8361451636505901</v>
      </c>
    </row>
    <row r="41" spans="1:6" x14ac:dyDescent="0.35">
      <c r="E41" s="42" t="s">
        <v>302</v>
      </c>
      <c r="F41" s="135">
        <f>F35+3*F37</f>
        <v>16.76385483634941</v>
      </c>
    </row>
  </sheetData>
  <pageMargins left="0.7" right="0.7" top="0.75" bottom="0.75" header="0.3" footer="0.3"/>
  <pageSetup orientation="portrait" verticalDpi="300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A3898-CBAA-4F05-8F4F-632EF984ECA1}">
  <dimension ref="A1:G19"/>
  <sheetViews>
    <sheetView workbookViewId="0">
      <selection activeCell="B10" sqref="B10"/>
    </sheetView>
  </sheetViews>
  <sheetFormatPr defaultRowHeight="14.5" x14ac:dyDescent="0.35"/>
  <cols>
    <col min="1" max="1" width="11.26953125" bestFit="1" customWidth="1"/>
    <col min="3" max="3" width="18.26953125" customWidth="1"/>
  </cols>
  <sheetData>
    <row r="1" spans="1:7" x14ac:dyDescent="0.35">
      <c r="A1" t="s">
        <v>6</v>
      </c>
      <c r="B1">
        <v>180</v>
      </c>
    </row>
    <row r="2" spans="1:7" x14ac:dyDescent="0.35">
      <c r="A2" t="s">
        <v>44</v>
      </c>
      <c r="B2">
        <v>160</v>
      </c>
    </row>
    <row r="3" spans="1:7" x14ac:dyDescent="0.35">
      <c r="A3" t="s">
        <v>0</v>
      </c>
      <c r="B3">
        <v>0.88</v>
      </c>
    </row>
    <row r="4" spans="1:7" x14ac:dyDescent="0.35">
      <c r="A4" t="s">
        <v>1</v>
      </c>
      <c r="B4">
        <f>1-B3</f>
        <v>0.12</v>
      </c>
    </row>
    <row r="7" spans="1:7" x14ac:dyDescent="0.35">
      <c r="C7">
        <f>_xlfn.BINOM.DIST.RANGE(B8,B10,0,12)</f>
        <v>0.26543439548683395</v>
      </c>
      <c r="D7">
        <f>_xlfn.BINOM.DIST.RANGE(B8,B10,0,12)</f>
        <v>0.26543439548683395</v>
      </c>
      <c r="G7">
        <f>_xlfn.BINOM.DIST(12,15,0.88,FALSE)</f>
        <v>0.16956928955323847</v>
      </c>
    </row>
    <row r="8" spans="1:7" x14ac:dyDescent="0.35">
      <c r="A8" s="42" t="s">
        <v>6</v>
      </c>
      <c r="B8">
        <v>15</v>
      </c>
      <c r="C8" t="s">
        <v>310</v>
      </c>
      <c r="D8">
        <f>_xlfn.BINOM.DIST.RANGE(180,0.88,160,180)</f>
        <v>0.41113841108518767</v>
      </c>
      <c r="E8" t="s">
        <v>311</v>
      </c>
      <c r="F8">
        <f>_xlfn.BINOM.DIST.RANGE(180,0.88,148,180)</f>
        <v>0.99126361947230535</v>
      </c>
    </row>
    <row r="9" spans="1:7" x14ac:dyDescent="0.35">
      <c r="A9" s="42" t="s">
        <v>44</v>
      </c>
      <c r="B9">
        <v>12</v>
      </c>
      <c r="C9" t="s">
        <v>312</v>
      </c>
      <c r="D9">
        <f>_xlfn.BINOM.DIST.RANGE(180,0.88,0,148)</f>
        <v>1.4936772509928885E-2</v>
      </c>
      <c r="E9" t="s">
        <v>313</v>
      </c>
      <c r="F9">
        <f>_xlfn.BINOM.DIST.RANGE(180,0.88,0,148)</f>
        <v>1.4936772509928885E-2</v>
      </c>
    </row>
    <row r="10" spans="1:7" x14ac:dyDescent="0.35">
      <c r="A10" s="42" t="s">
        <v>0</v>
      </c>
      <c r="B10" s="2">
        <v>0.88</v>
      </c>
    </row>
    <row r="11" spans="1:7" x14ac:dyDescent="0.35">
      <c r="A11" s="42" t="s">
        <v>1</v>
      </c>
      <c r="B11" s="1">
        <f>1-B10</f>
        <v>0.12</v>
      </c>
    </row>
    <row r="12" spans="1:7" x14ac:dyDescent="0.35">
      <c r="A12" s="42" t="s">
        <v>226</v>
      </c>
      <c r="B12" s="109">
        <f>SUM(B8*B10)</f>
        <v>13.2</v>
      </c>
    </row>
    <row r="13" spans="1:7" x14ac:dyDescent="0.35">
      <c r="A13" s="42" t="s">
        <v>228</v>
      </c>
      <c r="B13">
        <f>B8*B10*B11</f>
        <v>1.5839999999999999</v>
      </c>
    </row>
    <row r="14" spans="1:7" x14ac:dyDescent="0.35">
      <c r="A14" s="42" t="s">
        <v>230</v>
      </c>
      <c r="B14" s="109">
        <f>SQRT(B8*B10*B11)</f>
        <v>1.2585706178041818</v>
      </c>
    </row>
    <row r="15" spans="1:7" x14ac:dyDescent="0.35">
      <c r="A15" s="42" t="s">
        <v>231</v>
      </c>
      <c r="B15" s="111">
        <f>B12-2*B14</f>
        <v>10.682858764391636</v>
      </c>
    </row>
    <row r="16" spans="1:7" x14ac:dyDescent="0.35">
      <c r="A16" s="42" t="s">
        <v>233</v>
      </c>
      <c r="B16" s="111">
        <f>B12+2*B14</f>
        <v>15.717141235608363</v>
      </c>
    </row>
    <row r="17" spans="1:2" x14ac:dyDescent="0.35">
      <c r="A17" s="42" t="s">
        <v>314</v>
      </c>
      <c r="B17" s="1">
        <f>_xlfn.BINOM.DIST(B2,B1,B3,0)</f>
        <v>8.7951455755780075E-2</v>
      </c>
    </row>
    <row r="18" spans="1:2" x14ac:dyDescent="0.35">
      <c r="A18" s="144" t="s">
        <v>315</v>
      </c>
      <c r="B18" s="108" t="e">
        <f>((FACT(B1))/(((FACT(B1-B2))* FACT( B2)))*(B3^B2)*B4^(B1-B2))</f>
        <v>#NUM!</v>
      </c>
    </row>
    <row r="19" spans="1:2" x14ac:dyDescent="0.35">
      <c r="A19" s="108" t="s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B4424-9FF2-42FD-80BF-D842247F5501}">
  <dimension ref="A1:O184"/>
  <sheetViews>
    <sheetView topLeftCell="C1" workbookViewId="0">
      <selection activeCell="E182" sqref="E182"/>
    </sheetView>
  </sheetViews>
  <sheetFormatPr defaultRowHeight="14.5" x14ac:dyDescent="0.35"/>
  <cols>
    <col min="2" max="2" width="10.81640625" bestFit="1" customWidth="1"/>
    <col min="4" max="4" width="10.81640625" bestFit="1" customWidth="1"/>
    <col min="5" max="5" width="11.81640625" bestFit="1" customWidth="1"/>
    <col min="6" max="6" width="8.81640625" bestFit="1" customWidth="1"/>
    <col min="9" max="9" width="10.7265625" bestFit="1" customWidth="1"/>
    <col min="10" max="10" width="9.36328125" bestFit="1" customWidth="1"/>
    <col min="12" max="12" width="23.54296875" bestFit="1" customWidth="1"/>
    <col min="13" max="13" width="7.36328125" bestFit="1" customWidth="1"/>
  </cols>
  <sheetData>
    <row r="1" spans="1:13" x14ac:dyDescent="0.35">
      <c r="A1" s="145"/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</row>
    <row r="2" spans="1:13" x14ac:dyDescent="0.35">
      <c r="A2" t="s">
        <v>44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I2" s="42" t="s">
        <v>6</v>
      </c>
      <c r="J2">
        <v>180</v>
      </c>
      <c r="L2">
        <f>K2*0.82</f>
        <v>0</v>
      </c>
    </row>
    <row r="3" spans="1:13" x14ac:dyDescent="0.35">
      <c r="A3">
        <v>0</v>
      </c>
      <c r="B3" s="1">
        <f>_xlfn.BINOM.DIST(A3,$A$183,0.88,FALSE)</f>
        <v>1.7890574572849884E-166</v>
      </c>
      <c r="C3" s="1">
        <f>A3*B3</f>
        <v>0</v>
      </c>
      <c r="E3">
        <f t="shared" ref="E3:E66" si="0">(A3-D$6)^2*B3</f>
        <v>4.488845347545647E-162</v>
      </c>
      <c r="F3">
        <f>SUM(E3:E183)</f>
        <v>19.007999999999999</v>
      </c>
      <c r="G3" s="1">
        <f>SQRT(F3)</f>
        <v>4.359816509900388</v>
      </c>
      <c r="I3" s="42" t="s">
        <v>44</v>
      </c>
      <c r="J3">
        <v>148</v>
      </c>
      <c r="L3">
        <f>148+L2</f>
        <v>148</v>
      </c>
    </row>
    <row r="4" spans="1:13" x14ac:dyDescent="0.35">
      <c r="A4">
        <v>1</v>
      </c>
      <c r="B4" s="1">
        <f t="shared" ref="B4:B67" si="1">_xlfn.BINOM.DIST(A4,$A$183,0.88,FALSE)</f>
        <v>2.3615558436161622E-163</v>
      </c>
      <c r="C4" s="1">
        <f t="shared" ref="C4:C67" si="2">A4*B4</f>
        <v>2.3615558436161622E-163</v>
      </c>
      <c r="E4">
        <f t="shared" si="0"/>
        <v>5.8506979252187999E-159</v>
      </c>
      <c r="I4" s="42" t="s">
        <v>0</v>
      </c>
      <c r="J4">
        <v>0.88</v>
      </c>
    </row>
    <row r="5" spans="1:13" x14ac:dyDescent="0.35">
      <c r="A5">
        <v>2</v>
      </c>
      <c r="B5" s="1">
        <f t="shared" si="1"/>
        <v>1.5499678186933968E-160</v>
      </c>
      <c r="C5" s="1">
        <f t="shared" si="2"/>
        <v>3.0999356373867935E-160</v>
      </c>
      <c r="E5">
        <f t="shared" si="0"/>
        <v>3.7913700814346465E-156</v>
      </c>
      <c r="I5" s="42" t="s">
        <v>1</v>
      </c>
      <c r="J5">
        <f>1-J4</f>
        <v>0.12</v>
      </c>
    </row>
    <row r="6" spans="1:13" x14ac:dyDescent="0.35">
      <c r="A6">
        <v>3</v>
      </c>
      <c r="B6" s="1">
        <f t="shared" si="1"/>
        <v>6.7440821977817265E-158</v>
      </c>
      <c r="C6" s="1">
        <f t="shared" si="2"/>
        <v>2.0232246593345181E-157</v>
      </c>
      <c r="D6" s="146">
        <f>SUM(C3:C183)</f>
        <v>158.40000000000006</v>
      </c>
      <c r="E6">
        <f t="shared" si="0"/>
        <v>1.6286392004738269E-153</v>
      </c>
      <c r="F6">
        <f>SUM(E3:E18)</f>
        <v>1.0066041402199864E-127</v>
      </c>
      <c r="G6">
        <f>SQRT(F6)</f>
        <v>3.1727025391927093E-64</v>
      </c>
      <c r="I6" s="42" t="s">
        <v>274</v>
      </c>
      <c r="J6">
        <f>J2*J4</f>
        <v>158.4</v>
      </c>
    </row>
    <row r="7" spans="1:13" x14ac:dyDescent="0.35">
      <c r="A7">
        <v>4</v>
      </c>
      <c r="B7" s="1">
        <f t="shared" si="1"/>
        <v>2.1884546731800803E-155</v>
      </c>
      <c r="C7" s="1">
        <f t="shared" si="2"/>
        <v>8.7538186927203212E-155</v>
      </c>
      <c r="E7">
        <f t="shared" si="0"/>
        <v>5.2171358797622321E-151</v>
      </c>
      <c r="I7" s="42" t="s">
        <v>230</v>
      </c>
      <c r="J7" s="1">
        <f>SQRT(J2*J4*J5)</f>
        <v>4.359816509900388</v>
      </c>
    </row>
    <row r="8" spans="1:13" x14ac:dyDescent="0.35">
      <c r="A8">
        <v>5</v>
      </c>
      <c r="B8" s="1">
        <f t="shared" si="1"/>
        <v>5.6491309963686679E-153</v>
      </c>
      <c r="C8" s="1">
        <f t="shared" si="2"/>
        <v>2.8245654981843341E-152</v>
      </c>
      <c r="E8">
        <f t="shared" si="0"/>
        <v>1.3293286498890921E-148</v>
      </c>
      <c r="I8" s="42" t="s">
        <v>317</v>
      </c>
      <c r="J8" s="1">
        <f>_xlfn.BINOM.DIST.RANGE(J2,J4,J3)</f>
        <v>6.2003919822342223E-3</v>
      </c>
      <c r="K8" t="s">
        <v>318</v>
      </c>
    </row>
    <row r="9" spans="1:13" x14ac:dyDescent="0.35">
      <c r="A9">
        <v>6</v>
      </c>
      <c r="B9" s="1">
        <f t="shared" si="1"/>
        <v>1.2082863520011858E-150</v>
      </c>
      <c r="C9" s="1">
        <f t="shared" si="2"/>
        <v>7.2497181120071149E-150</v>
      </c>
      <c r="E9">
        <f t="shared" si="0"/>
        <v>2.8063368822855084E-146</v>
      </c>
      <c r="I9" s="42" t="s">
        <v>319</v>
      </c>
      <c r="J9" s="1">
        <f>_xlfn.BINOM.DIST.RANGE(J2,J4,0,J3)</f>
        <v>1.4936772509928885E-2</v>
      </c>
      <c r="K9">
        <f>(J9*J3)</f>
        <v>2.210642331469475</v>
      </c>
    </row>
    <row r="10" spans="1:13" x14ac:dyDescent="0.35">
      <c r="A10">
        <v>7</v>
      </c>
      <c r="B10" s="1">
        <f t="shared" si="1"/>
        <v>2.2025334073620962E-148</v>
      </c>
      <c r="C10" s="1">
        <f t="shared" si="2"/>
        <v>1.5417733851534674E-147</v>
      </c>
      <c r="E10">
        <f t="shared" si="0"/>
        <v>5.0486382662217714E-144</v>
      </c>
      <c r="I10" s="115" t="s">
        <v>320</v>
      </c>
      <c r="J10" s="37">
        <f>_xlfn.BINOM.DIST.RANGE(J2,J4,J3,J2)</f>
        <v>0.99126361947230535</v>
      </c>
    </row>
    <row r="11" spans="1:13" x14ac:dyDescent="0.35">
      <c r="A11">
        <v>8</v>
      </c>
      <c r="B11" s="1">
        <f t="shared" si="1"/>
        <v>3.4928508951750628E-146</v>
      </c>
      <c r="C11" s="1">
        <f t="shared" si="2"/>
        <v>2.7942807161400502E-145</v>
      </c>
      <c r="E11">
        <f t="shared" si="0"/>
        <v>7.9008846105003214E-142</v>
      </c>
      <c r="I11" t="s">
        <v>321</v>
      </c>
      <c r="J11" s="1">
        <f>_xlfn.BINOM.DIST.RANGE(J2,0.88,J3,J2)</f>
        <v>0.99126361947230535</v>
      </c>
    </row>
    <row r="12" spans="1:13" x14ac:dyDescent="0.35">
      <c r="A12">
        <v>9</v>
      </c>
      <c r="B12" s="1">
        <f t="shared" si="1"/>
        <v>4.8951658471635087E-144</v>
      </c>
      <c r="C12" s="1">
        <f t="shared" si="2"/>
        <v>4.4056492624471576E-143</v>
      </c>
      <c r="E12">
        <f t="shared" si="0"/>
        <v>1.0926186396839459E-139</v>
      </c>
      <c r="I12" s="42" t="s">
        <v>322</v>
      </c>
      <c r="J12" s="1">
        <f>_xlfn.BINOM.DIST.RANGE(180,0.88,148)</f>
        <v>6.2003919822342223E-3</v>
      </c>
    </row>
    <row r="13" spans="1:13" x14ac:dyDescent="0.35">
      <c r="A13">
        <v>10</v>
      </c>
      <c r="B13" s="1">
        <f t="shared" si="1"/>
        <v>6.1385379723433308E-142</v>
      </c>
      <c r="C13" s="1">
        <f t="shared" si="2"/>
        <v>6.1385379723433304E-141</v>
      </c>
      <c r="E13">
        <f t="shared" si="0"/>
        <v>1.3518632080820947E-137</v>
      </c>
      <c r="J13" s="1"/>
    </row>
    <row r="14" spans="1:13" x14ac:dyDescent="0.35">
      <c r="A14">
        <v>11</v>
      </c>
      <c r="B14" s="1">
        <f t="shared" si="1"/>
        <v>6.957009701989374E-140</v>
      </c>
      <c r="C14" s="1">
        <f t="shared" si="2"/>
        <v>7.6527106721883111E-139</v>
      </c>
      <c r="E14">
        <f t="shared" si="0"/>
        <v>1.5115328011279481E-135</v>
      </c>
    </row>
    <row r="15" spans="1:13" x14ac:dyDescent="0.35">
      <c r="A15">
        <v>12</v>
      </c>
      <c r="B15" s="1">
        <f t="shared" si="1"/>
        <v>7.1850450199988193E-138</v>
      </c>
      <c r="C15" s="1">
        <f t="shared" si="2"/>
        <v>8.6220540239985837E-137</v>
      </c>
      <c r="E15">
        <f t="shared" si="0"/>
        <v>1.5399678251183403E-133</v>
      </c>
    </row>
    <row r="16" spans="1:13" x14ac:dyDescent="0.35">
      <c r="A16">
        <v>13</v>
      </c>
      <c r="B16" s="1">
        <f t="shared" si="1"/>
        <v>6.8092118958755722E-136</v>
      </c>
      <c r="C16" s="1">
        <f t="shared" si="2"/>
        <v>8.8519754646382433E-135</v>
      </c>
      <c r="E16">
        <f t="shared" si="0"/>
        <v>1.4395463816460894E-131</v>
      </c>
    </row>
    <row r="17" spans="1:15" x14ac:dyDescent="0.35">
      <c r="A17">
        <v>14</v>
      </c>
      <c r="B17" s="1">
        <f t="shared" si="1"/>
        <v>5.9564391679639481E-134</v>
      </c>
      <c r="C17" s="1">
        <f t="shared" si="2"/>
        <v>8.3390148351495279E-133</v>
      </c>
      <c r="E17">
        <f t="shared" si="0"/>
        <v>1.2419985740931686E-129</v>
      </c>
    </row>
    <row r="18" spans="1:15" x14ac:dyDescent="0.35">
      <c r="A18">
        <v>15</v>
      </c>
      <c r="B18" s="1">
        <f t="shared" si="1"/>
        <v>4.8339812980896748E-132</v>
      </c>
      <c r="C18" s="1">
        <f t="shared" si="2"/>
        <v>7.2509719471345121E-131</v>
      </c>
      <c r="E18">
        <f t="shared" si="0"/>
        <v>9.9403864462145004E-128</v>
      </c>
    </row>
    <row r="19" spans="1:15" x14ac:dyDescent="0.35">
      <c r="A19">
        <v>16</v>
      </c>
      <c r="B19" s="1">
        <f t="shared" si="1"/>
        <v>3.6556983566800768E-130</v>
      </c>
      <c r="C19" s="1">
        <f t="shared" si="2"/>
        <v>5.849117370688123E-129</v>
      </c>
      <c r="E19">
        <f t="shared" si="0"/>
        <v>7.4129373909153054E-126</v>
      </c>
    </row>
    <row r="20" spans="1:15" x14ac:dyDescent="0.35">
      <c r="A20">
        <v>17</v>
      </c>
      <c r="B20" s="1">
        <f t="shared" si="1"/>
        <v>2.5862273864515617E-128</v>
      </c>
      <c r="C20" s="1">
        <f t="shared" si="2"/>
        <v>4.3965865569676547E-127</v>
      </c>
      <c r="E20">
        <f t="shared" si="0"/>
        <v>5.1708926915617113E-124</v>
      </c>
      <c r="N20" s="145"/>
      <c r="O20" s="145"/>
    </row>
    <row r="21" spans="1:15" x14ac:dyDescent="0.35">
      <c r="A21">
        <v>18</v>
      </c>
      <c r="B21" s="1">
        <f t="shared" si="1"/>
        <v>1.7174465570028298E-126</v>
      </c>
      <c r="C21" s="1">
        <f t="shared" si="2"/>
        <v>3.0914038026050937E-125</v>
      </c>
      <c r="E21">
        <f t="shared" si="0"/>
        <v>3.3854581323088934E-122</v>
      </c>
    </row>
    <row r="22" spans="1:15" x14ac:dyDescent="0.35">
      <c r="A22">
        <v>19</v>
      </c>
      <c r="B22" s="1">
        <f t="shared" si="1"/>
        <v>1.073856057747002E-124</v>
      </c>
      <c r="C22" s="1">
        <f t="shared" si="2"/>
        <v>2.0403265097193038E-123</v>
      </c>
      <c r="E22">
        <f t="shared" si="0"/>
        <v>2.0867557502320551E-120</v>
      </c>
    </row>
    <row r="23" spans="1:15" x14ac:dyDescent="0.35">
      <c r="A23">
        <v>20</v>
      </c>
      <c r="B23" s="1">
        <f t="shared" si="1"/>
        <v>6.3393302608998387E-123</v>
      </c>
      <c r="C23" s="1">
        <f t="shared" si="2"/>
        <v>1.2678660521799678E-121</v>
      </c>
      <c r="E23">
        <f t="shared" si="0"/>
        <v>1.2142708184222172E-118</v>
      </c>
    </row>
    <row r="24" spans="1:15" x14ac:dyDescent="0.35">
      <c r="A24">
        <v>21</v>
      </c>
      <c r="B24" s="1">
        <f t="shared" si="1"/>
        <v>3.5419750029153707E-121</v>
      </c>
      <c r="C24" s="1">
        <f t="shared" si="2"/>
        <v>7.4381475061222788E-120</v>
      </c>
      <c r="E24">
        <f t="shared" si="0"/>
        <v>6.6868096006038646E-117</v>
      </c>
    </row>
    <row r="25" spans="1:15" x14ac:dyDescent="0.35">
      <c r="A25">
        <v>22</v>
      </c>
      <c r="B25" s="1">
        <f t="shared" si="1"/>
        <v>1.8772467515451872E-119</v>
      </c>
      <c r="C25" s="1">
        <f t="shared" si="2"/>
        <v>4.1299428533994115E-118</v>
      </c>
      <c r="E25">
        <f t="shared" si="0"/>
        <v>3.4926100722628181E-115</v>
      </c>
    </row>
    <row r="26" spans="1:15" x14ac:dyDescent="0.35">
      <c r="A26">
        <v>23</v>
      </c>
      <c r="B26" s="1">
        <f t="shared" si="1"/>
        <v>9.4569705918421867E-118</v>
      </c>
      <c r="C26" s="1">
        <f t="shared" si="2"/>
        <v>2.1751032361237028E-116</v>
      </c>
      <c r="E26">
        <f t="shared" si="0"/>
        <v>1.7337615497553768E-113</v>
      </c>
    </row>
    <row r="27" spans="1:15" x14ac:dyDescent="0.35">
      <c r="A27">
        <v>24</v>
      </c>
      <c r="B27" s="1">
        <f t="shared" si="1"/>
        <v>4.5367189478087016E-116</v>
      </c>
      <c r="C27" s="1">
        <f t="shared" si="2"/>
        <v>1.0888125474740884E-114</v>
      </c>
      <c r="E27">
        <f t="shared" si="0"/>
        <v>8.1948387573089858E-112</v>
      </c>
    </row>
    <row r="28" spans="1:15" x14ac:dyDescent="0.35">
      <c r="A28">
        <v>25</v>
      </c>
      <c r="B28" s="1">
        <f t="shared" si="1"/>
        <v>2.0760025905173684E-114</v>
      </c>
      <c r="C28" s="1">
        <f t="shared" si="2"/>
        <v>5.1900064762934211E-113</v>
      </c>
      <c r="E28">
        <f t="shared" si="0"/>
        <v>3.694362865970729E-110</v>
      </c>
    </row>
    <row r="29" spans="1:15" x14ac:dyDescent="0.35">
      <c r="A29">
        <v>26</v>
      </c>
      <c r="B29" s="1">
        <f t="shared" si="1"/>
        <v>9.0758574790559646E-113</v>
      </c>
      <c r="C29" s="1">
        <f t="shared" si="2"/>
        <v>2.3597229445545508E-111</v>
      </c>
      <c r="E29">
        <f t="shared" si="0"/>
        <v>1.5909760340205624E-108</v>
      </c>
    </row>
    <row r="30" spans="1:15" x14ac:dyDescent="0.35">
      <c r="A30">
        <v>27</v>
      </c>
      <c r="B30" s="1">
        <f t="shared" si="1"/>
        <v>3.7961734739560532E-111</v>
      </c>
      <c r="C30" s="1">
        <f t="shared" si="2"/>
        <v>1.0249668379681343E-109</v>
      </c>
      <c r="E30">
        <f t="shared" si="0"/>
        <v>6.554457935438632E-107</v>
      </c>
    </row>
    <row r="31" spans="1:15" x14ac:dyDescent="0.35">
      <c r="A31">
        <v>28</v>
      </c>
      <c r="B31" s="1">
        <f t="shared" si="1"/>
        <v>1.5211809420637354E-109</v>
      </c>
      <c r="C31" s="1">
        <f t="shared" si="2"/>
        <v>4.2593066377784595E-108</v>
      </c>
      <c r="E31">
        <f t="shared" si="0"/>
        <v>2.5866404127802514E-105</v>
      </c>
    </row>
    <row r="32" spans="1:15" x14ac:dyDescent="0.35">
      <c r="A32">
        <v>29</v>
      </c>
      <c r="B32" s="1">
        <f t="shared" si="1"/>
        <v>5.8469299658173804E-108</v>
      </c>
      <c r="C32" s="1">
        <f t="shared" si="2"/>
        <v>1.6956096900870403E-106</v>
      </c>
      <c r="E32">
        <f t="shared" si="0"/>
        <v>9.7903100242433999E-104</v>
      </c>
    </row>
    <row r="33" spans="1:5" x14ac:dyDescent="0.35">
      <c r="A33">
        <v>30</v>
      </c>
      <c r="B33" s="1">
        <f t="shared" si="1"/>
        <v>2.1581668162718091E-106</v>
      </c>
      <c r="C33" s="1">
        <f t="shared" si="2"/>
        <v>6.4745004488154273E-105</v>
      </c>
      <c r="E33">
        <f t="shared" si="0"/>
        <v>3.5580746706474193E-102</v>
      </c>
    </row>
    <row r="34" spans="1:5" x14ac:dyDescent="0.35">
      <c r="A34">
        <v>31</v>
      </c>
      <c r="B34" s="1">
        <f t="shared" si="1"/>
        <v>7.658011283545078E-105</v>
      </c>
      <c r="C34" s="1">
        <f t="shared" si="2"/>
        <v>2.373983497898974E-103</v>
      </c>
      <c r="E34">
        <f t="shared" si="0"/>
        <v>1.2429534322051224E-100</v>
      </c>
    </row>
    <row r="35" spans="1:5" x14ac:dyDescent="0.35">
      <c r="A35">
        <v>32</v>
      </c>
      <c r="B35" s="1">
        <f t="shared" si="1"/>
        <v>2.6148917695270434E-103</v>
      </c>
      <c r="C35" s="1">
        <f t="shared" si="2"/>
        <v>8.3676536624865389E-102</v>
      </c>
      <c r="E35">
        <f t="shared" si="0"/>
        <v>4.1778021206062828E-99</v>
      </c>
    </row>
    <row r="36" spans="1:5" x14ac:dyDescent="0.35">
      <c r="A36">
        <v>33</v>
      </c>
      <c r="B36" s="1">
        <f t="shared" si="1"/>
        <v>8.6000884864450598E-102</v>
      </c>
      <c r="C36" s="1">
        <f t="shared" si="2"/>
        <v>2.83802920052687E-100</v>
      </c>
      <c r="E36">
        <f t="shared" si="0"/>
        <v>1.3523776746350654E-97</v>
      </c>
    </row>
    <row r="37" spans="1:5" x14ac:dyDescent="0.35">
      <c r="A37">
        <v>34</v>
      </c>
      <c r="B37" s="1">
        <f t="shared" si="1"/>
        <v>2.7267339377610502E-100</v>
      </c>
      <c r="C37" s="1">
        <f t="shared" si="2"/>
        <v>9.2708953883875715E-99</v>
      </c>
      <c r="E37">
        <f t="shared" si="0"/>
        <v>4.2197189311069889E-96</v>
      </c>
    </row>
    <row r="38" spans="1:5" x14ac:dyDescent="0.35">
      <c r="A38">
        <v>35</v>
      </c>
      <c r="B38" s="1">
        <f t="shared" si="1"/>
        <v>8.3412089600841436E-99</v>
      </c>
      <c r="C38" s="1">
        <f t="shared" si="2"/>
        <v>2.9194231360294504E-97</v>
      </c>
      <c r="E38">
        <f t="shared" si="0"/>
        <v>1.2701625991221903E-94</v>
      </c>
    </row>
    <row r="39" spans="1:5" x14ac:dyDescent="0.35">
      <c r="A39">
        <v>36</v>
      </c>
      <c r="B39" s="1">
        <f t="shared" si="1"/>
        <v>2.4637459798766445E-97</v>
      </c>
      <c r="C39" s="1">
        <f t="shared" si="2"/>
        <v>8.8694855275559205E-96</v>
      </c>
      <c r="E39">
        <f t="shared" si="0"/>
        <v>3.6911250971476755E-93</v>
      </c>
    </row>
    <row r="40" spans="1:5" x14ac:dyDescent="0.35">
      <c r="A40">
        <v>37</v>
      </c>
      <c r="B40" s="1">
        <f t="shared" si="1"/>
        <v>7.0316642020261731E-96</v>
      </c>
      <c r="C40" s="1">
        <f t="shared" si="2"/>
        <v>2.6017157547496842E-94</v>
      </c>
      <c r="E40">
        <f t="shared" si="0"/>
        <v>1.0363238574289376E-91</v>
      </c>
    </row>
    <row r="41" spans="1:5" x14ac:dyDescent="0.35">
      <c r="A41">
        <v>38</v>
      </c>
      <c r="B41" s="1">
        <f t="shared" si="1"/>
        <v>1.9404925946995268E-94</v>
      </c>
      <c r="C41" s="1">
        <f t="shared" si="2"/>
        <v>7.3738718598582016E-93</v>
      </c>
      <c r="E41">
        <f t="shared" si="0"/>
        <v>2.8129691131579521E-90</v>
      </c>
    </row>
    <row r="42" spans="1:5" x14ac:dyDescent="0.35">
      <c r="A42">
        <v>39</v>
      </c>
      <c r="B42" s="1">
        <f t="shared" si="1"/>
        <v>5.1812810819157157E-93</v>
      </c>
      <c r="C42" s="1">
        <f t="shared" si="2"/>
        <v>2.0206996219471291E-91</v>
      </c>
      <c r="E42">
        <f t="shared" si="0"/>
        <v>7.3866208364980013E-89</v>
      </c>
    </row>
    <row r="43" spans="1:5" x14ac:dyDescent="0.35">
      <c r="A43">
        <v>40</v>
      </c>
      <c r="B43" s="1">
        <f t="shared" si="1"/>
        <v>1.3393611596752051E-91</v>
      </c>
      <c r="C43" s="1">
        <f t="shared" si="2"/>
        <v>5.3574446387008203E-90</v>
      </c>
      <c r="E43">
        <f t="shared" si="0"/>
        <v>1.8775914778576461E-87</v>
      </c>
    </row>
    <row r="44" spans="1:5" x14ac:dyDescent="0.35">
      <c r="A44">
        <v>41</v>
      </c>
      <c r="B44" s="1">
        <f t="shared" si="1"/>
        <v>3.3538474567476594E-90</v>
      </c>
      <c r="C44" s="1">
        <f t="shared" si="2"/>
        <v>1.3750774572665404E-88</v>
      </c>
      <c r="E44">
        <f t="shared" si="0"/>
        <v>4.6225274572963418E-86</v>
      </c>
    </row>
    <row r="45" spans="1:5" x14ac:dyDescent="0.35">
      <c r="A45">
        <v>42</v>
      </c>
      <c r="B45" s="1">
        <f t="shared" si="1"/>
        <v>8.1397345418528218E-89</v>
      </c>
      <c r="C45" s="1">
        <f t="shared" si="2"/>
        <v>3.4186885075781853E-87</v>
      </c>
      <c r="E45">
        <f t="shared" si="0"/>
        <v>1.1028493771818232E-84</v>
      </c>
    </row>
    <row r="46" spans="1:5" x14ac:dyDescent="0.35">
      <c r="A46">
        <v>43</v>
      </c>
      <c r="B46" s="1">
        <f t="shared" si="1"/>
        <v>1.9156770596174616E-87</v>
      </c>
      <c r="C46" s="1">
        <f t="shared" si="2"/>
        <v>8.2374113563550845E-86</v>
      </c>
      <c r="E46">
        <f t="shared" si="0"/>
        <v>2.5511377911255302E-83</v>
      </c>
    </row>
    <row r="47" spans="1:5" x14ac:dyDescent="0.35">
      <c r="A47">
        <v>44</v>
      </c>
      <c r="B47" s="1">
        <f t="shared" si="1"/>
        <v>4.3741292861265766E-86</v>
      </c>
      <c r="C47" s="1">
        <f t="shared" si="2"/>
        <v>1.9246168858956937E-84</v>
      </c>
      <c r="E47">
        <f t="shared" si="0"/>
        <v>5.7245804654081578E-82</v>
      </c>
    </row>
    <row r="48" spans="1:5" x14ac:dyDescent="0.35">
      <c r="A48">
        <v>45</v>
      </c>
      <c r="B48" s="1">
        <f t="shared" si="1"/>
        <v>9.6943665363633846E-85</v>
      </c>
      <c r="C48" s="1">
        <f t="shared" si="2"/>
        <v>4.3624649413635228E-83</v>
      </c>
      <c r="E48">
        <f t="shared" si="0"/>
        <v>1.2466528813635727E-80</v>
      </c>
    </row>
    <row r="49" spans="1:5" x14ac:dyDescent="0.35">
      <c r="A49">
        <v>46</v>
      </c>
      <c r="B49" s="1">
        <f t="shared" si="1"/>
        <v>2.0863962763042994E-83</v>
      </c>
      <c r="C49" s="1">
        <f t="shared" si="2"/>
        <v>9.5974228709997772E-82</v>
      </c>
      <c r="E49">
        <f t="shared" si="0"/>
        <v>2.6359029819722236E-79</v>
      </c>
    </row>
    <row r="50" spans="1:5" x14ac:dyDescent="0.35">
      <c r="A50">
        <v>47</v>
      </c>
      <c r="B50" s="1">
        <f t="shared" si="1"/>
        <v>4.3621959025142215E-82</v>
      </c>
      <c r="C50" s="1">
        <f t="shared" si="2"/>
        <v>2.0502320741816843E-80</v>
      </c>
      <c r="E50">
        <f t="shared" si="0"/>
        <v>5.4134676662365449E-78</v>
      </c>
    </row>
    <row r="51" spans="1:5" x14ac:dyDescent="0.35">
      <c r="A51">
        <v>48</v>
      </c>
      <c r="B51" s="1">
        <f t="shared" si="1"/>
        <v>8.8637397296921012E-81</v>
      </c>
      <c r="C51" s="1">
        <f t="shared" si="2"/>
        <v>4.2545950702522086E-79</v>
      </c>
      <c r="E51">
        <f t="shared" si="0"/>
        <v>1.080326780238442E-76</v>
      </c>
    </row>
    <row r="52" spans="1:5" x14ac:dyDescent="0.35">
      <c r="A52">
        <v>49</v>
      </c>
      <c r="B52" s="1">
        <f t="shared" si="1"/>
        <v>1.7510408282330745E-79</v>
      </c>
      <c r="C52" s="1">
        <f t="shared" si="2"/>
        <v>8.5801000583420644E-78</v>
      </c>
      <c r="E52">
        <f t="shared" si="0"/>
        <v>2.0957087006991621E-75</v>
      </c>
    </row>
    <row r="53" spans="1:5" x14ac:dyDescent="0.35">
      <c r="A53">
        <v>50</v>
      </c>
      <c r="B53" s="1">
        <f t="shared" si="1"/>
        <v>3.3643331113117827E-78</v>
      </c>
      <c r="C53" s="1">
        <f t="shared" si="2"/>
        <v>1.6821665556558913E-76</v>
      </c>
      <c r="E53">
        <f t="shared" si="0"/>
        <v>3.953279808445583E-74</v>
      </c>
    </row>
    <row r="54" spans="1:5" x14ac:dyDescent="0.35">
      <c r="A54">
        <v>51</v>
      </c>
      <c r="B54" s="1">
        <f t="shared" si="1"/>
        <v>6.2888841165696213E-77</v>
      </c>
      <c r="C54" s="1">
        <f t="shared" si="2"/>
        <v>3.207330899450507E-75</v>
      </c>
      <c r="E54">
        <f t="shared" si="0"/>
        <v>7.2540768952442681E-73</v>
      </c>
    </row>
    <row r="55" spans="1:5" x14ac:dyDescent="0.35">
      <c r="A55">
        <v>52</v>
      </c>
      <c r="B55" s="1">
        <f t="shared" si="1"/>
        <v>1.1440931488990307E-75</v>
      </c>
      <c r="C55" s="1">
        <f t="shared" si="2"/>
        <v>5.9492843742749596E-74</v>
      </c>
      <c r="E55">
        <f t="shared" si="0"/>
        <v>1.2952232774959986E-71</v>
      </c>
    </row>
    <row r="56" spans="1:5" x14ac:dyDescent="0.35">
      <c r="A56">
        <v>53</v>
      </c>
      <c r="B56" s="1">
        <f t="shared" si="1"/>
        <v>2.0262681177984807E-74</v>
      </c>
      <c r="C56" s="1">
        <f t="shared" si="2"/>
        <v>1.0739221024331947E-72</v>
      </c>
      <c r="E56">
        <f t="shared" si="0"/>
        <v>2.2510136723522197E-70</v>
      </c>
    </row>
    <row r="57" spans="1:5" x14ac:dyDescent="0.35">
      <c r="A57">
        <v>54</v>
      </c>
      <c r="B57" s="1">
        <f t="shared" si="1"/>
        <v>3.4946871118080934E-73</v>
      </c>
      <c r="C57" s="1">
        <f t="shared" si="2"/>
        <v>1.8871310403763706E-71</v>
      </c>
      <c r="E57">
        <f t="shared" si="0"/>
        <v>3.8089852918956708E-69</v>
      </c>
    </row>
    <row r="58" spans="1:5" x14ac:dyDescent="0.35">
      <c r="A58">
        <v>55</v>
      </c>
      <c r="B58" s="1">
        <f t="shared" si="1"/>
        <v>5.8710743478375715E-72</v>
      </c>
      <c r="C58" s="1">
        <f t="shared" si="2"/>
        <v>3.2290908913106641E-70</v>
      </c>
      <c r="E58">
        <f t="shared" si="0"/>
        <v>6.2770943654366334E-68</v>
      </c>
    </row>
    <row r="59" spans="1:5" x14ac:dyDescent="0.35">
      <c r="A59">
        <v>56</v>
      </c>
      <c r="B59" s="1">
        <f t="shared" si="1"/>
        <v>9.6103895574721506E-71</v>
      </c>
      <c r="C59" s="1">
        <f t="shared" si="2"/>
        <v>5.3818181521844038E-69</v>
      </c>
      <c r="E59">
        <f t="shared" si="0"/>
        <v>1.007722384061593E-66</v>
      </c>
    </row>
    <row r="60" spans="1:5" x14ac:dyDescent="0.35">
      <c r="A60">
        <v>57</v>
      </c>
      <c r="B60" s="1">
        <f t="shared" si="1"/>
        <v>1.5331662405137001E-69</v>
      </c>
      <c r="C60" s="1">
        <f t="shared" si="2"/>
        <v>8.7390475709280907E-68</v>
      </c>
      <c r="E60">
        <f t="shared" si="0"/>
        <v>1.5763953958312263E-65</v>
      </c>
    </row>
    <row r="61" spans="1:5" x14ac:dyDescent="0.35">
      <c r="A61">
        <v>58</v>
      </c>
      <c r="B61" s="1">
        <f t="shared" si="1"/>
        <v>2.3843378430058386E-68</v>
      </c>
      <c r="C61" s="1">
        <f t="shared" si="2"/>
        <v>1.3829159489433864E-66</v>
      </c>
      <c r="E61">
        <f t="shared" si="0"/>
        <v>2.4034506951553763E-64</v>
      </c>
    </row>
    <row r="62" spans="1:5" x14ac:dyDescent="0.35">
      <c r="A62">
        <v>59</v>
      </c>
      <c r="B62" s="1">
        <f t="shared" si="1"/>
        <v>3.615572186795366E-67</v>
      </c>
      <c r="C62" s="1">
        <f t="shared" si="2"/>
        <v>2.1331875902092661E-65</v>
      </c>
      <c r="E62">
        <f t="shared" si="0"/>
        <v>3.5723154811525509E-63</v>
      </c>
    </row>
    <row r="63" spans="1:5" x14ac:dyDescent="0.35">
      <c r="A63">
        <v>60</v>
      </c>
      <c r="B63" s="1">
        <f t="shared" si="1"/>
        <v>5.347029534027174E-66</v>
      </c>
      <c r="C63" s="1">
        <f t="shared" si="2"/>
        <v>3.2082177204163041E-64</v>
      </c>
      <c r="E63">
        <f t="shared" si="0"/>
        <v>5.1772934284990223E-62</v>
      </c>
    </row>
    <row r="64" spans="1:5" x14ac:dyDescent="0.35">
      <c r="A64">
        <v>61</v>
      </c>
      <c r="B64" s="1">
        <f t="shared" si="1"/>
        <v>7.7137475244981949E-65</v>
      </c>
      <c r="C64" s="1">
        <f t="shared" si="2"/>
        <v>4.7053859899438991E-63</v>
      </c>
      <c r="E64">
        <f t="shared" si="0"/>
        <v>7.3178471465508594E-61</v>
      </c>
    </row>
    <row r="65" spans="1:5" x14ac:dyDescent="0.35">
      <c r="A65">
        <v>62</v>
      </c>
      <c r="B65" s="1">
        <f t="shared" si="1"/>
        <v>1.0857306999535844E-63</v>
      </c>
      <c r="C65" s="1">
        <f t="shared" si="2"/>
        <v>6.7315303397122236E-62</v>
      </c>
      <c r="E65">
        <f t="shared" si="0"/>
        <v>1.0089651965440675E-59</v>
      </c>
    </row>
    <row r="66" spans="1:5" x14ac:dyDescent="0.35">
      <c r="A66">
        <v>63</v>
      </c>
      <c r="B66" s="1">
        <f t="shared" si="1"/>
        <v>1.4912999455446904E-62</v>
      </c>
      <c r="C66" s="1">
        <f t="shared" si="2"/>
        <v>9.3951896569315499E-61</v>
      </c>
      <c r="E66">
        <f t="shared" si="0"/>
        <v>1.3572559412393533E-58</v>
      </c>
    </row>
    <row r="67" spans="1:5" x14ac:dyDescent="0.35">
      <c r="A67">
        <v>64</v>
      </c>
      <c r="B67" s="1">
        <f t="shared" si="1"/>
        <v>1.9992739894958114E-61</v>
      </c>
      <c r="C67" s="1">
        <f t="shared" si="2"/>
        <v>1.2795353532773193E-59</v>
      </c>
      <c r="E67">
        <f t="shared" ref="E67:E130" si="3">(A67-D$6)^2*B67</f>
        <v>1.7816250259033419E-57</v>
      </c>
    </row>
    <row r="68" spans="1:5" x14ac:dyDescent="0.35">
      <c r="A68">
        <v>65</v>
      </c>
      <c r="B68" s="1">
        <f t="shared" ref="B68:B131" si="4">_xlfn.BINOM.DIST(A68,$A$183,0.88,FALSE)</f>
        <v>2.6164857544582081E-60</v>
      </c>
      <c r="C68" s="1">
        <f t="shared" ref="C68:C131" si="5">A68*B68</f>
        <v>1.7007157403978352E-58</v>
      </c>
      <c r="E68">
        <f t="shared" si="3"/>
        <v>2.2825070468161477E-56</v>
      </c>
    </row>
    <row r="69" spans="1:5" x14ac:dyDescent="0.35">
      <c r="A69">
        <v>66</v>
      </c>
      <c r="B69" s="1">
        <f t="shared" si="4"/>
        <v>3.3432873529187238E-59</v>
      </c>
      <c r="C69" s="1">
        <f t="shared" si="5"/>
        <v>2.2065696529263578E-57</v>
      </c>
      <c r="E69">
        <f t="shared" si="3"/>
        <v>2.8544185030255399E-55</v>
      </c>
    </row>
    <row r="70" spans="1:5" x14ac:dyDescent="0.35">
      <c r="A70">
        <v>67</v>
      </c>
      <c r="B70" s="1">
        <f t="shared" si="4"/>
        <v>4.1716242194627042E-58</v>
      </c>
      <c r="C70" s="1">
        <f t="shared" si="5"/>
        <v>2.794988227040012E-56</v>
      </c>
      <c r="E70">
        <f t="shared" si="3"/>
        <v>3.4849581864422704E-54</v>
      </c>
    </row>
    <row r="71" spans="1:5" x14ac:dyDescent="0.35">
      <c r="A71">
        <v>68</v>
      </c>
      <c r="B71" s="1">
        <f t="shared" si="4"/>
        <v>5.0836557890119634E-57</v>
      </c>
      <c r="C71" s="1">
        <f t="shared" si="5"/>
        <v>3.4568859365281354E-55</v>
      </c>
      <c r="E71">
        <f t="shared" si="3"/>
        <v>4.1544448492732065E-53</v>
      </c>
    </row>
    <row r="72" spans="1:5" x14ac:dyDescent="0.35">
      <c r="A72">
        <v>69</v>
      </c>
      <c r="B72" s="1">
        <f t="shared" si="4"/>
        <v>6.0512694995776179E-56</v>
      </c>
      <c r="C72" s="1">
        <f t="shared" si="5"/>
        <v>4.1753759547085562E-54</v>
      </c>
      <c r="E72">
        <f t="shared" si="3"/>
        <v>4.8363924297644237E-52</v>
      </c>
    </row>
    <row r="73" spans="1:5" x14ac:dyDescent="0.35">
      <c r="A73">
        <v>70</v>
      </c>
      <c r="B73" s="1">
        <f t="shared" si="4"/>
        <v>7.0367619609374211E-55</v>
      </c>
      <c r="C73" s="1">
        <f t="shared" si="5"/>
        <v>4.9257333726561945E-53</v>
      </c>
      <c r="E73">
        <f t="shared" si="3"/>
        <v>5.4989198549463209E-51</v>
      </c>
    </row>
    <row r="74" spans="1:5" x14ac:dyDescent="0.35">
      <c r="A74">
        <v>71</v>
      </c>
      <c r="B74" s="1">
        <f t="shared" si="4"/>
        <v>7.9948187537410552E-54</v>
      </c>
      <c r="C74" s="1">
        <f t="shared" si="5"/>
        <v>5.6763213151561492E-52</v>
      </c>
      <c r="E74">
        <f t="shared" si="3"/>
        <v>6.1070501703327109E-50</v>
      </c>
    </row>
    <row r="75" spans="1:5" x14ac:dyDescent="0.35">
      <c r="A75">
        <v>72</v>
      </c>
      <c r="B75" s="1">
        <f t="shared" si="4"/>
        <v>8.8757293386439866E-53</v>
      </c>
      <c r="C75" s="1">
        <f t="shared" si="5"/>
        <v>6.3905251238236701E-51</v>
      </c>
      <c r="E75">
        <f t="shared" si="3"/>
        <v>6.6256964483803911E-49</v>
      </c>
    </row>
    <row r="76" spans="1:5" x14ac:dyDescent="0.35">
      <c r="A76">
        <v>73</v>
      </c>
      <c r="B76" s="1">
        <f t="shared" si="4"/>
        <v>9.6295584057615779E-52</v>
      </c>
      <c r="C76" s="1">
        <f t="shared" si="5"/>
        <v>7.029577636205952E-50</v>
      </c>
      <c r="E76">
        <f t="shared" si="3"/>
        <v>7.0229910182564209E-48</v>
      </c>
    </row>
    <row r="77" spans="1:5" x14ac:dyDescent="0.35">
      <c r="A77">
        <v>74</v>
      </c>
      <c r="B77" s="1">
        <f t="shared" si="4"/>
        <v>1.0210802021244707E-50</v>
      </c>
      <c r="C77" s="1">
        <f t="shared" si="5"/>
        <v>7.5559934957210828E-49</v>
      </c>
      <c r="E77">
        <f t="shared" si="3"/>
        <v>7.2735218686053805E-47</v>
      </c>
    </row>
    <row r="78" spans="1:5" x14ac:dyDescent="0.35">
      <c r="A78">
        <v>75</v>
      </c>
      <c r="B78" s="1">
        <f t="shared" si="4"/>
        <v>1.0582929028241024E-49</v>
      </c>
      <c r="C78" s="1">
        <f t="shared" si="5"/>
        <v>7.9371967711807683E-48</v>
      </c>
      <c r="E78">
        <f t="shared" si="3"/>
        <v>7.3610197831672252E-46</v>
      </c>
    </row>
    <row r="79" spans="1:5" x14ac:dyDescent="0.35">
      <c r="A79">
        <v>76</v>
      </c>
      <c r="B79" s="1">
        <f t="shared" si="4"/>
        <v>1.0722178094402112E-48</v>
      </c>
      <c r="C79" s="1">
        <f t="shared" si="5"/>
        <v>8.1488553517456052E-47</v>
      </c>
      <c r="E79">
        <f t="shared" si="3"/>
        <v>7.28010159382478E-45</v>
      </c>
    </row>
    <row r="80" spans="1:5" x14ac:dyDescent="0.35">
      <c r="A80">
        <v>77</v>
      </c>
      <c r="B80" s="1">
        <f t="shared" si="4"/>
        <v>1.0620062112550647E-47</v>
      </c>
      <c r="C80" s="1">
        <f t="shared" si="5"/>
        <v>8.1774478266639977E-46</v>
      </c>
      <c r="E80">
        <f t="shared" si="3"/>
        <v>7.0368106755276188E-44</v>
      </c>
    </row>
    <row r="81" spans="1:5" x14ac:dyDescent="0.35">
      <c r="A81">
        <v>78</v>
      </c>
      <c r="B81" s="1">
        <f t="shared" si="4"/>
        <v>1.0284213994461558E-46</v>
      </c>
      <c r="C81" s="1">
        <f t="shared" si="5"/>
        <v>8.0216869156800155E-45</v>
      </c>
      <c r="E81">
        <f t="shared" si="3"/>
        <v>6.6478804734438723E-43</v>
      </c>
    </row>
    <row r="82" spans="1:5" x14ac:dyDescent="0.35">
      <c r="A82">
        <v>79</v>
      </c>
      <c r="B82" s="1">
        <f t="shared" si="4"/>
        <v>9.7374583137433956E-46</v>
      </c>
      <c r="C82" s="1">
        <f t="shared" si="5"/>
        <v>7.6925920678572824E-44</v>
      </c>
      <c r="E82">
        <f t="shared" si="3"/>
        <v>6.1388442694831402E-42</v>
      </c>
    </row>
    <row r="83" spans="1:5" x14ac:dyDescent="0.35">
      <c r="A83">
        <v>80</v>
      </c>
      <c r="B83" s="1">
        <f t="shared" si="4"/>
        <v>9.0152634888073609E-45</v>
      </c>
      <c r="C83" s="1">
        <f t="shared" si="5"/>
        <v>7.2122107910458881E-43</v>
      </c>
      <c r="E83">
        <f t="shared" si="3"/>
        <v>5.5412857949763857E-41</v>
      </c>
    </row>
    <row r="84" spans="1:5" x14ac:dyDescent="0.35">
      <c r="A84">
        <v>81</v>
      </c>
      <c r="B84" s="1">
        <f t="shared" si="4"/>
        <v>8.161966944599183E-44</v>
      </c>
      <c r="C84" s="1">
        <f t="shared" si="5"/>
        <v>6.6111932251253383E-42</v>
      </c>
      <c r="E84">
        <f t="shared" si="3"/>
        <v>4.8896385093027075E-40</v>
      </c>
    </row>
    <row r="85" spans="1:5" x14ac:dyDescent="0.35">
      <c r="A85">
        <v>82</v>
      </c>
      <c r="B85" s="1">
        <f t="shared" si="4"/>
        <v>7.2263268314379914E-43</v>
      </c>
      <c r="C85" s="1">
        <f t="shared" si="5"/>
        <v>5.9255880017791526E-41</v>
      </c>
      <c r="E85">
        <f t="shared" si="3"/>
        <v>4.2179780662030363E-39</v>
      </c>
    </row>
    <row r="86" spans="1:5" x14ac:dyDescent="0.35">
      <c r="A86">
        <v>83</v>
      </c>
      <c r="B86" s="1">
        <f t="shared" si="4"/>
        <v>6.2570123086666216E-42</v>
      </c>
      <c r="C86" s="1">
        <f t="shared" si="5"/>
        <v>5.193320216193296E-40</v>
      </c>
      <c r="E86">
        <f t="shared" si="3"/>
        <v>3.5572116096739192E-38</v>
      </c>
    </row>
    <row r="87" spans="1:5" x14ac:dyDescent="0.35">
      <c r="A87">
        <v>84</v>
      </c>
      <c r="B87" s="1">
        <f t="shared" si="4"/>
        <v>5.2985969312280893E-41</v>
      </c>
      <c r="C87" s="1">
        <f t="shared" si="5"/>
        <v>4.4508214222315951E-39</v>
      </c>
      <c r="E87">
        <f t="shared" si="3"/>
        <v>2.9329641509242767E-37</v>
      </c>
    </row>
    <row r="88" spans="1:5" x14ac:dyDescent="0.35">
      <c r="A88">
        <v>85</v>
      </c>
      <c r="B88" s="1">
        <f t="shared" si="4"/>
        <v>4.3884849877466216E-40</v>
      </c>
      <c r="C88" s="1">
        <f t="shared" si="5"/>
        <v>3.7302122395846286E-38</v>
      </c>
      <c r="E88">
        <f t="shared" si="3"/>
        <v>2.3643226180584229E-36</v>
      </c>
    </row>
    <row r="89" spans="1:5" x14ac:dyDescent="0.35">
      <c r="A89">
        <v>86</v>
      </c>
      <c r="B89" s="1">
        <f t="shared" si="4"/>
        <v>3.5550130327093505E-39</v>
      </c>
      <c r="C89" s="1">
        <f t="shared" si="5"/>
        <v>3.0573112081300415E-37</v>
      </c>
      <c r="E89">
        <f t="shared" si="3"/>
        <v>1.8634525114334599E-35</v>
      </c>
    </row>
    <row r="90" spans="1:5" x14ac:dyDescent="0.35">
      <c r="A90">
        <v>87</v>
      </c>
      <c r="B90" s="1">
        <f t="shared" si="4"/>
        <v>2.8167689469896464E-38</v>
      </c>
      <c r="C90" s="1">
        <f t="shared" si="5"/>
        <v>2.4505889838809924E-36</v>
      </c>
      <c r="E90">
        <f t="shared" si="3"/>
        <v>1.4359775420995363E-34</v>
      </c>
    </row>
    <row r="91" spans="1:5" x14ac:dyDescent="0.35">
      <c r="A91">
        <v>88</v>
      </c>
      <c r="B91" s="1">
        <f t="shared" si="4"/>
        <v>2.1829959339170183E-37</v>
      </c>
      <c r="C91" s="1">
        <f t="shared" si="5"/>
        <v>1.9210364218469761E-35</v>
      </c>
      <c r="E91">
        <f t="shared" si="3"/>
        <v>1.0819277127842189E-33</v>
      </c>
    </row>
    <row r="92" spans="1:5" x14ac:dyDescent="0.35">
      <c r="A92">
        <v>89</v>
      </c>
      <c r="B92" s="1">
        <f t="shared" si="4"/>
        <v>1.6548253821153277E-36</v>
      </c>
      <c r="C92" s="1">
        <f t="shared" si="5"/>
        <v>1.4727945900826417E-34</v>
      </c>
      <c r="E92">
        <f t="shared" si="3"/>
        <v>7.9702347774049945E-33</v>
      </c>
    </row>
    <row r="93" spans="1:5" x14ac:dyDescent="0.35">
      <c r="A93">
        <v>90</v>
      </c>
      <c r="B93" s="1">
        <f t="shared" si="4"/>
        <v>1.2270223759240608E-35</v>
      </c>
      <c r="C93" s="1">
        <f t="shared" si="5"/>
        <v>1.1043201383316547E-33</v>
      </c>
      <c r="E93">
        <f t="shared" si="3"/>
        <v>5.7406978071032846E-32</v>
      </c>
    </row>
    <row r="94" spans="1:5" x14ac:dyDescent="0.35">
      <c r="A94">
        <v>91</v>
      </c>
      <c r="B94" s="1">
        <f t="shared" si="4"/>
        <v>8.8992831660424119E-35</v>
      </c>
      <c r="C94" s="1">
        <f t="shared" si="5"/>
        <v>8.0983476810985954E-33</v>
      </c>
      <c r="E94">
        <f t="shared" si="3"/>
        <v>4.0427307595370904E-31</v>
      </c>
    </row>
    <row r="95" spans="1:5" x14ac:dyDescent="0.35">
      <c r="A95">
        <v>92</v>
      </c>
      <c r="B95" s="1">
        <f t="shared" si="4"/>
        <v>6.3133320431563345E-34</v>
      </c>
      <c r="C95" s="1">
        <f t="shared" si="5"/>
        <v>5.8082654797038282E-32</v>
      </c>
      <c r="E95">
        <f t="shared" si="3"/>
        <v>2.7835228444994606E-30</v>
      </c>
    </row>
    <row r="96" spans="1:5" x14ac:dyDescent="0.35">
      <c r="A96">
        <v>93</v>
      </c>
      <c r="B96" s="1">
        <f t="shared" si="4"/>
        <v>4.3808640987636467E-33</v>
      </c>
      <c r="C96" s="1">
        <f t="shared" si="5"/>
        <v>4.0742036118501913E-31</v>
      </c>
      <c r="E96">
        <f t="shared" si="3"/>
        <v>1.8737656688667956E-29</v>
      </c>
    </row>
    <row r="97" spans="1:5" x14ac:dyDescent="0.35">
      <c r="A97">
        <v>94</v>
      </c>
      <c r="B97" s="1">
        <f t="shared" si="4"/>
        <v>2.9733949946927506E-32</v>
      </c>
      <c r="C97" s="1">
        <f t="shared" si="5"/>
        <v>2.7949912950111856E-30</v>
      </c>
      <c r="E97">
        <f t="shared" si="3"/>
        <v>1.2331739465188949E-28</v>
      </c>
    </row>
    <row r="98" spans="1:5" x14ac:dyDescent="0.35">
      <c r="A98">
        <v>95</v>
      </c>
      <c r="B98" s="1">
        <f t="shared" si="4"/>
        <v>1.9739169578802475E-31</v>
      </c>
      <c r="C98" s="1">
        <f t="shared" si="5"/>
        <v>1.8752211099862352E-29</v>
      </c>
      <c r="E98">
        <f t="shared" si="3"/>
        <v>7.9342776472171434E-28</v>
      </c>
    </row>
    <row r="99" spans="1:5" x14ac:dyDescent="0.35">
      <c r="A99">
        <v>96</v>
      </c>
      <c r="B99" s="1">
        <f t="shared" si="4"/>
        <v>1.2816752469569639E-30</v>
      </c>
      <c r="C99" s="1">
        <f t="shared" si="5"/>
        <v>1.2304082370786853E-28</v>
      </c>
      <c r="E99">
        <f t="shared" si="3"/>
        <v>4.990535809591158E-27</v>
      </c>
    </row>
    <row r="100" spans="1:5" x14ac:dyDescent="0.35">
      <c r="A100">
        <v>97</v>
      </c>
      <c r="B100" s="1">
        <f t="shared" si="4"/>
        <v>8.1392984755205979E-30</v>
      </c>
      <c r="C100" s="1">
        <f t="shared" si="5"/>
        <v>7.8951195212549797E-28</v>
      </c>
      <c r="E100">
        <f t="shared" si="3"/>
        <v>3.0684829680773694E-26</v>
      </c>
    </row>
    <row r="101" spans="1:5" x14ac:dyDescent="0.35">
      <c r="A101">
        <v>98</v>
      </c>
      <c r="B101" s="1">
        <f t="shared" si="4"/>
        <v>5.0552241552042722E-29</v>
      </c>
      <c r="C101" s="1">
        <f t="shared" si="5"/>
        <v>4.9541196721001871E-27</v>
      </c>
      <c r="E101">
        <f t="shared" si="3"/>
        <v>1.8442266554050056E-25</v>
      </c>
    </row>
    <row r="102" spans="1:5" x14ac:dyDescent="0.35">
      <c r="A102">
        <v>99</v>
      </c>
      <c r="B102" s="1">
        <f t="shared" si="4"/>
        <v>3.0705805979759336E-28</v>
      </c>
      <c r="C102" s="1">
        <f t="shared" si="5"/>
        <v>3.0398747919961744E-26</v>
      </c>
      <c r="E102">
        <f t="shared" si="3"/>
        <v>1.0834113758674387E-24</v>
      </c>
    </row>
    <row r="103" spans="1:5" x14ac:dyDescent="0.35">
      <c r="A103">
        <v>100</v>
      </c>
      <c r="B103" s="1">
        <f t="shared" si="4"/>
        <v>1.8239248751976913E-27</v>
      </c>
      <c r="C103" s="1">
        <f t="shared" si="5"/>
        <v>1.8239248751976912E-25</v>
      </c>
      <c r="E103">
        <f t="shared" si="3"/>
        <v>6.220605222354251E-24</v>
      </c>
    </row>
    <row r="104" spans="1:5" x14ac:dyDescent="0.35">
      <c r="A104">
        <v>101</v>
      </c>
      <c r="B104" s="1">
        <f t="shared" si="4"/>
        <v>1.0594415116659915E-26</v>
      </c>
      <c r="C104" s="1">
        <f t="shared" si="5"/>
        <v>1.0700359267826514E-24</v>
      </c>
      <c r="E104">
        <f t="shared" si="3"/>
        <v>3.4906055149766495E-23</v>
      </c>
    </row>
    <row r="105" spans="1:5" x14ac:dyDescent="0.35">
      <c r="A105">
        <v>102</v>
      </c>
      <c r="B105" s="1">
        <f t="shared" si="4"/>
        <v>6.0173508080898501E-26</v>
      </c>
      <c r="C105" s="1">
        <f t="shared" si="5"/>
        <v>6.1376978242516474E-24</v>
      </c>
      <c r="E105">
        <f t="shared" si="3"/>
        <v>1.9140952226501531E-22</v>
      </c>
    </row>
    <row r="106" spans="1:5" x14ac:dyDescent="0.35">
      <c r="A106">
        <v>103</v>
      </c>
      <c r="B106" s="1">
        <f t="shared" si="4"/>
        <v>3.3416744293469865E-25</v>
      </c>
      <c r="C106" s="1">
        <f t="shared" si="5"/>
        <v>3.4419246622273961E-23</v>
      </c>
      <c r="E106">
        <f t="shared" si="3"/>
        <v>1.0256133491574621E-21</v>
      </c>
    </row>
    <row r="107" spans="1:5" x14ac:dyDescent="0.35">
      <c r="A107">
        <v>104</v>
      </c>
      <c r="B107" s="1">
        <f t="shared" si="4"/>
        <v>1.8143578472159719E-24</v>
      </c>
      <c r="C107" s="1">
        <f t="shared" si="5"/>
        <v>1.8869321611046109E-22</v>
      </c>
      <c r="E107">
        <f t="shared" si="3"/>
        <v>5.3693380387370711E-21</v>
      </c>
    </row>
    <row r="108" spans="1:5" x14ac:dyDescent="0.35">
      <c r="A108">
        <v>105</v>
      </c>
      <c r="B108" s="1">
        <f t="shared" si="4"/>
        <v>9.630496255698572E-24</v>
      </c>
      <c r="C108" s="1">
        <f t="shared" si="5"/>
        <v>1.0112021068483501E-21</v>
      </c>
      <c r="E108">
        <f t="shared" si="3"/>
        <v>2.7461937902899887E-20</v>
      </c>
    </row>
    <row r="109" spans="1:5" x14ac:dyDescent="0.35">
      <c r="A109">
        <v>106</v>
      </c>
      <c r="B109" s="1">
        <f t="shared" si="4"/>
        <v>4.9969556043719644E-23</v>
      </c>
      <c r="C109" s="1">
        <f t="shared" si="5"/>
        <v>5.2967729406342821E-21</v>
      </c>
      <c r="E109">
        <f t="shared" si="3"/>
        <v>1.3720440820260397E-19</v>
      </c>
    </row>
    <row r="110" spans="1:5" x14ac:dyDescent="0.35">
      <c r="A110">
        <v>107</v>
      </c>
      <c r="B110" s="1">
        <f t="shared" si="4"/>
        <v>2.5342815339307152E-22</v>
      </c>
      <c r="C110" s="1">
        <f t="shared" si="5"/>
        <v>2.7116812413058652E-20</v>
      </c>
      <c r="E110">
        <f t="shared" si="3"/>
        <v>6.6954704413836083E-19</v>
      </c>
    </row>
    <row r="111" spans="1:5" x14ac:dyDescent="0.35">
      <c r="A111">
        <v>108</v>
      </c>
      <c r="B111" s="1">
        <f t="shared" si="4"/>
        <v>1.2561901677446642E-21</v>
      </c>
      <c r="C111" s="1">
        <f t="shared" si="5"/>
        <v>1.3566853811642374E-19</v>
      </c>
      <c r="E111">
        <f t="shared" si="3"/>
        <v>3.1909240164982939E-18</v>
      </c>
    </row>
    <row r="112" spans="1:5" x14ac:dyDescent="0.35">
      <c r="A112">
        <v>109</v>
      </c>
      <c r="B112" s="1">
        <f t="shared" si="4"/>
        <v>6.0850312712769937E-21</v>
      </c>
      <c r="C112" s="1">
        <f t="shared" si="5"/>
        <v>6.6326840856919235E-19</v>
      </c>
      <c r="E112">
        <f t="shared" si="3"/>
        <v>1.484966691317356E-17</v>
      </c>
    </row>
    <row r="113" spans="1:5" x14ac:dyDescent="0.35">
      <c r="A113">
        <v>110</v>
      </c>
      <c r="B113" s="1">
        <f t="shared" si="4"/>
        <v>2.8802481350710615E-20</v>
      </c>
      <c r="C113" s="1">
        <f t="shared" si="5"/>
        <v>3.1682729485781678E-18</v>
      </c>
      <c r="E113">
        <f t="shared" si="3"/>
        <v>6.7471540712920824E-17</v>
      </c>
    </row>
    <row r="114" spans="1:5" x14ac:dyDescent="0.35">
      <c r="A114">
        <v>111</v>
      </c>
      <c r="B114" s="1">
        <f t="shared" si="4"/>
        <v>1.3320066450478908E-19</v>
      </c>
      <c r="C114" s="1">
        <f t="shared" si="5"/>
        <v>1.4785273760031589E-17</v>
      </c>
      <c r="E114">
        <f t="shared" si="3"/>
        <v>2.9926992498278074E-16</v>
      </c>
    </row>
    <row r="115" spans="1:5" x14ac:dyDescent="0.35">
      <c r="A115">
        <v>112</v>
      </c>
      <c r="B115" s="1">
        <f t="shared" si="4"/>
        <v>6.0178157356627751E-19</v>
      </c>
      <c r="C115" s="1">
        <f t="shared" si="5"/>
        <v>6.7399536239423082E-17</v>
      </c>
      <c r="E115">
        <f t="shared" si="3"/>
        <v>1.2956116566252565E-15</v>
      </c>
    </row>
    <row r="116" spans="1:5" x14ac:dyDescent="0.35">
      <c r="A116">
        <v>113</v>
      </c>
      <c r="B116" s="1">
        <f t="shared" si="4"/>
        <v>2.6556496579798168E-18</v>
      </c>
      <c r="C116" s="1">
        <f t="shared" si="5"/>
        <v>3.0008841135171928E-16</v>
      </c>
      <c r="E116">
        <f t="shared" si="3"/>
        <v>5.4737188490416945E-15</v>
      </c>
    </row>
    <row r="117" spans="1:5" x14ac:dyDescent="0.35">
      <c r="A117">
        <v>114</v>
      </c>
      <c r="B117" s="1">
        <f t="shared" si="4"/>
        <v>1.1445694724743402E-17</v>
      </c>
      <c r="C117" s="1">
        <f t="shared" si="5"/>
        <v>1.3048091986207478E-15</v>
      </c>
      <c r="E117">
        <f t="shared" si="3"/>
        <v>2.2563584752570217E-14</v>
      </c>
    </row>
    <row r="118" spans="1:5" x14ac:dyDescent="0.35">
      <c r="A118">
        <v>115</v>
      </c>
      <c r="B118" s="1">
        <f t="shared" si="4"/>
        <v>4.8171445624137399E-17</v>
      </c>
      <c r="C118" s="1">
        <f t="shared" si="5"/>
        <v>5.5397162467758007E-15</v>
      </c>
      <c r="E118">
        <f t="shared" si="3"/>
        <v>9.0733808119800498E-14</v>
      </c>
    </row>
    <row r="119" spans="1:5" x14ac:dyDescent="0.35">
      <c r="A119">
        <v>116</v>
      </c>
      <c r="B119" s="1">
        <f t="shared" si="4"/>
        <v>1.9794588288079358E-16</v>
      </c>
      <c r="C119" s="1">
        <f t="shared" si="5"/>
        <v>2.2961722414172056E-14</v>
      </c>
      <c r="E119">
        <f t="shared" si="3"/>
        <v>3.5585919040777648E-13</v>
      </c>
    </row>
    <row r="120" spans="1:5" x14ac:dyDescent="0.35">
      <c r="A120">
        <v>117</v>
      </c>
      <c r="B120" s="1">
        <f t="shared" si="4"/>
        <v>7.9403932506027716E-16</v>
      </c>
      <c r="C120" s="1">
        <f t="shared" si="5"/>
        <v>9.2902601032052434E-14</v>
      </c>
      <c r="E120">
        <f t="shared" si="3"/>
        <v>1.3609516415803169E-12</v>
      </c>
    </row>
    <row r="121" spans="1:5" x14ac:dyDescent="0.35">
      <c r="A121">
        <v>118</v>
      </c>
      <c r="B121" s="1">
        <f t="shared" si="4"/>
        <v>3.1088658320156445E-15</v>
      </c>
      <c r="C121" s="1">
        <f t="shared" si="5"/>
        <v>3.6684616817784603E-13</v>
      </c>
      <c r="E121">
        <f t="shared" si="3"/>
        <v>5.0741664563826697E-12</v>
      </c>
    </row>
    <row r="122" spans="1:5" x14ac:dyDescent="0.35">
      <c r="A122">
        <v>119</v>
      </c>
      <c r="B122" s="1">
        <f t="shared" si="4"/>
        <v>1.1878131638289547E-14</v>
      </c>
      <c r="C122" s="1">
        <f t="shared" si="5"/>
        <v>1.4134976649564561E-12</v>
      </c>
      <c r="E122">
        <f t="shared" si="3"/>
        <v>1.843913643001522E-11</v>
      </c>
    </row>
    <row r="123" spans="1:5" x14ac:dyDescent="0.35">
      <c r="A123">
        <v>120</v>
      </c>
      <c r="B123" s="1">
        <f t="shared" si="4"/>
        <v>4.4279035162734658E-14</v>
      </c>
      <c r="C123" s="1">
        <f t="shared" si="5"/>
        <v>5.3134842195281588E-12</v>
      </c>
      <c r="E123">
        <f t="shared" si="3"/>
        <v>6.5292094089562227E-11</v>
      </c>
    </row>
    <row r="124" spans="1:5" x14ac:dyDescent="0.35">
      <c r="A124">
        <v>121</v>
      </c>
      <c r="B124" s="1">
        <f t="shared" si="4"/>
        <v>1.6101467331903436E-13</v>
      </c>
      <c r="C124" s="1">
        <f t="shared" si="5"/>
        <v>1.9482775471603157E-11</v>
      </c>
      <c r="E124">
        <f t="shared" si="3"/>
        <v>2.2522088445173328E-10</v>
      </c>
    </row>
    <row r="125" spans="1:5" x14ac:dyDescent="0.35">
      <c r="A125">
        <v>122</v>
      </c>
      <c r="B125" s="1">
        <f t="shared" si="4"/>
        <v>5.7103018024073236E-13</v>
      </c>
      <c r="C125" s="1">
        <f t="shared" si="5"/>
        <v>6.9665681989369351E-11</v>
      </c>
      <c r="E125">
        <f t="shared" si="3"/>
        <v>7.5659214761176334E-10</v>
      </c>
    </row>
    <row r="126" spans="1:5" x14ac:dyDescent="0.35">
      <c r="A126">
        <v>123</v>
      </c>
      <c r="B126" s="1">
        <f t="shared" si="4"/>
        <v>1.9746192682579286E-12</v>
      </c>
      <c r="C126" s="1">
        <f t="shared" si="5"/>
        <v>2.4287816999572524E-10</v>
      </c>
      <c r="E126">
        <f t="shared" si="3"/>
        <v>2.4745138822101144E-9</v>
      </c>
    </row>
    <row r="127" spans="1:5" x14ac:dyDescent="0.35">
      <c r="A127">
        <v>124</v>
      </c>
      <c r="B127" s="1">
        <f t="shared" si="4"/>
        <v>6.6563778559016751E-12</v>
      </c>
      <c r="C127" s="1">
        <f t="shared" si="5"/>
        <v>8.2539085413180774E-10</v>
      </c>
      <c r="E127">
        <f t="shared" si="3"/>
        <v>7.8768912995598341E-9</v>
      </c>
    </row>
    <row r="128" spans="1:5" x14ac:dyDescent="0.35">
      <c r="A128">
        <v>125</v>
      </c>
      <c r="B128" s="1">
        <f t="shared" si="4"/>
        <v>2.1868420049255743E-11</v>
      </c>
      <c r="C128" s="1">
        <f t="shared" si="5"/>
        <v>2.7335525061569678E-9</v>
      </c>
      <c r="E128">
        <f t="shared" si="3"/>
        <v>2.439553467014783E-8</v>
      </c>
    </row>
    <row r="129" spans="1:5" x14ac:dyDescent="0.35">
      <c r="A129">
        <v>126</v>
      </c>
      <c r="B129" s="1">
        <f t="shared" si="4"/>
        <v>7.0002085342855364E-11</v>
      </c>
      <c r="C129" s="1">
        <f t="shared" si="5"/>
        <v>8.8202627531997753E-9</v>
      </c>
      <c r="E129">
        <f t="shared" si="3"/>
        <v>7.3485389109516127E-8</v>
      </c>
    </row>
    <row r="130" spans="1:5" x14ac:dyDescent="0.35">
      <c r="A130">
        <v>127</v>
      </c>
      <c r="B130" s="1">
        <f t="shared" si="4"/>
        <v>2.1827421886433537E-10</v>
      </c>
      <c r="C130" s="1">
        <f t="shared" si="5"/>
        <v>2.7720825795770594E-8</v>
      </c>
      <c r="E130">
        <f t="shared" si="3"/>
        <v>2.1520964883148095E-7</v>
      </c>
    </row>
    <row r="131" spans="1:5" x14ac:dyDescent="0.35">
      <c r="A131">
        <v>128</v>
      </c>
      <c r="B131" s="1">
        <f t="shared" si="4"/>
        <v>6.627805708224444E-10</v>
      </c>
      <c r="C131" s="1">
        <f t="shared" si="5"/>
        <v>8.4835913065272883E-8</v>
      </c>
      <c r="E131">
        <f t="shared" ref="E131:E183" si="6">(A131-D$6)^2*B131</f>
        <v>6.1251529233127274E-7</v>
      </c>
    </row>
    <row r="132" spans="1:5" x14ac:dyDescent="0.35">
      <c r="A132">
        <v>129</v>
      </c>
      <c r="B132" s="1">
        <f t="shared" ref="B132:B183" si="7">_xlfn.BINOM.DIST(A132,$A$183,0.88,FALSE)</f>
        <v>1.9592273204673795E-9</v>
      </c>
      <c r="C132" s="1">
        <f t="shared" ref="C132:C183" si="8">A132*B132</f>
        <v>2.5274032434029198E-7</v>
      </c>
      <c r="E132">
        <f t="shared" si="6"/>
        <v>1.6934777267191914E-6</v>
      </c>
    </row>
    <row r="133" spans="1:5" x14ac:dyDescent="0.35">
      <c r="A133">
        <v>130</v>
      </c>
      <c r="B133" s="1">
        <f t="shared" si="7"/>
        <v>5.636546291190742E-9</v>
      </c>
      <c r="C133" s="1">
        <f t="shared" si="8"/>
        <v>7.327510178547964E-7</v>
      </c>
      <c r="E133">
        <f t="shared" si="6"/>
        <v>4.5462127766228254E-6</v>
      </c>
    </row>
    <row r="134" spans="1:5" x14ac:dyDescent="0.35">
      <c r="A134">
        <v>131</v>
      </c>
      <c r="B134" s="1">
        <f t="shared" si="7"/>
        <v>1.577659267254401E-8</v>
      </c>
      <c r="C134" s="1">
        <f t="shared" si="8"/>
        <v>2.0667336401032653E-6</v>
      </c>
      <c r="E134">
        <f t="shared" si="6"/>
        <v>1.1844434714839194E-5</v>
      </c>
    </row>
    <row r="135" spans="1:5" x14ac:dyDescent="0.35">
      <c r="A135">
        <v>132</v>
      </c>
      <c r="B135" s="1">
        <f t="shared" si="7"/>
        <v>4.2947391164147993E-8</v>
      </c>
      <c r="C135" s="1">
        <f t="shared" si="8"/>
        <v>5.6690556336675348E-6</v>
      </c>
      <c r="E135">
        <f t="shared" si="6"/>
        <v>2.9932613745764728E-5</v>
      </c>
    </row>
    <row r="136" spans="1:5" x14ac:dyDescent="0.35">
      <c r="A136">
        <v>133</v>
      </c>
      <c r="B136" s="1">
        <f t="shared" si="7"/>
        <v>1.1366527586300747E-7</v>
      </c>
      <c r="C136" s="1">
        <f t="shared" si="8"/>
        <v>1.5117481689779993E-5</v>
      </c>
      <c r="E136">
        <f t="shared" si="6"/>
        <v>7.3332289375778258E-5</v>
      </c>
    </row>
    <row r="137" spans="1:5" x14ac:dyDescent="0.35">
      <c r="A137">
        <v>134</v>
      </c>
      <c r="B137" s="1">
        <f t="shared" si="7"/>
        <v>2.9236292348843167E-7</v>
      </c>
      <c r="C137" s="1">
        <f t="shared" si="8"/>
        <v>3.9176631747449843E-5</v>
      </c>
      <c r="E137">
        <f t="shared" si="6"/>
        <v>1.7406119012807359E-4</v>
      </c>
    </row>
    <row r="138" spans="1:5" x14ac:dyDescent="0.35">
      <c r="A138">
        <v>135</v>
      </c>
      <c r="B138" s="1">
        <f t="shared" si="7"/>
        <v>7.3054636684022978E-7</v>
      </c>
      <c r="C138" s="1">
        <f t="shared" si="8"/>
        <v>9.8623759523431013E-5</v>
      </c>
      <c r="E138">
        <f t="shared" si="6"/>
        <v>4.0001796862703835E-4</v>
      </c>
    </row>
    <row r="139" spans="1:5" x14ac:dyDescent="0.35">
      <c r="A139">
        <v>136</v>
      </c>
      <c r="B139" s="1">
        <f t="shared" si="7"/>
        <v>1.7726492724799668E-6</v>
      </c>
      <c r="C139" s="1">
        <f t="shared" si="8"/>
        <v>2.4108030105727548E-4</v>
      </c>
      <c r="E139">
        <f t="shared" si="6"/>
        <v>8.8944449895955301E-4</v>
      </c>
    </row>
    <row r="140" spans="1:5" x14ac:dyDescent="0.35">
      <c r="A140">
        <v>137</v>
      </c>
      <c r="B140" s="1">
        <f t="shared" si="7"/>
        <v>4.1749987731401708E-6</v>
      </c>
      <c r="C140" s="1">
        <f t="shared" si="8"/>
        <v>5.7197483192020335E-4</v>
      </c>
      <c r="E140">
        <f t="shared" si="6"/>
        <v>1.9119824381472836E-3</v>
      </c>
    </row>
    <row r="141" spans="1:5" x14ac:dyDescent="0.35">
      <c r="A141">
        <v>138</v>
      </c>
      <c r="B141" s="1">
        <f t="shared" si="7"/>
        <v>9.5399730420063167E-6</v>
      </c>
      <c r="C141" s="1">
        <f t="shared" si="8"/>
        <v>1.3165162797968716E-3</v>
      </c>
      <c r="E141">
        <f t="shared" si="6"/>
        <v>3.9701551811613727E-3</v>
      </c>
    </row>
    <row r="142" spans="1:5" x14ac:dyDescent="0.35">
      <c r="A142">
        <v>139</v>
      </c>
      <c r="B142" s="1">
        <f t="shared" si="7"/>
        <v>2.1138933071495976E-5</v>
      </c>
      <c r="C142" s="1">
        <f t="shared" si="8"/>
        <v>2.9383116969379408E-3</v>
      </c>
      <c r="E142">
        <f t="shared" si="6"/>
        <v>7.9558488507882764E-3</v>
      </c>
    </row>
    <row r="143" spans="1:5" x14ac:dyDescent="0.35">
      <c r="A143">
        <v>140</v>
      </c>
      <c r="B143" s="1">
        <f t="shared" si="7"/>
        <v>4.5398375310689002E-5</v>
      </c>
      <c r="C143" s="1">
        <f t="shared" si="8"/>
        <v>6.3557725434964605E-3</v>
      </c>
      <c r="E143">
        <f t="shared" si="6"/>
        <v>1.5370073945186972E-2</v>
      </c>
    </row>
    <row r="144" spans="1:5" x14ac:dyDescent="0.35">
      <c r="A144">
        <v>141</v>
      </c>
      <c r="B144" s="1">
        <f t="shared" si="7"/>
        <v>9.4445792608525506E-5</v>
      </c>
      <c r="C144" s="1">
        <f t="shared" si="8"/>
        <v>1.3316856757802096E-2</v>
      </c>
      <c r="E144">
        <f t="shared" si="6"/>
        <v>2.8594408170157386E-2</v>
      </c>
    </row>
    <row r="145" spans="1:5" x14ac:dyDescent="0.35">
      <c r="A145">
        <v>142</v>
      </c>
      <c r="B145" s="1">
        <f t="shared" si="7"/>
        <v>1.9022180764815676E-4</v>
      </c>
      <c r="C145" s="1">
        <f t="shared" si="8"/>
        <v>2.701149668603826E-2</v>
      </c>
      <c r="E145">
        <f t="shared" si="6"/>
        <v>5.1162057385048629E-2</v>
      </c>
    </row>
    <row r="146" spans="1:5" x14ac:dyDescent="0.35">
      <c r="A146">
        <v>143</v>
      </c>
      <c r="B146" s="1">
        <f t="shared" si="7"/>
        <v>3.7068865080153602E-4</v>
      </c>
      <c r="C146" s="1">
        <f t="shared" si="8"/>
        <v>5.3008477064619648E-2</v>
      </c>
      <c r="E146">
        <f t="shared" si="6"/>
        <v>8.7912520424092991E-2</v>
      </c>
    </row>
    <row r="147" spans="1:5" x14ac:dyDescent="0.35">
      <c r="A147">
        <v>144</v>
      </c>
      <c r="B147" s="1">
        <f t="shared" si="7"/>
        <v>6.9847352257511926E-4</v>
      </c>
      <c r="C147" s="1">
        <f t="shared" si="8"/>
        <v>0.10058018725081717</v>
      </c>
      <c r="E147">
        <f t="shared" si="6"/>
        <v>0.14483546964117799</v>
      </c>
    </row>
    <row r="148" spans="1:5" x14ac:dyDescent="0.35">
      <c r="A148">
        <v>145</v>
      </c>
      <c r="B148" s="1">
        <f t="shared" si="7"/>
        <v>1.271703516964356E-3</v>
      </c>
      <c r="C148" s="1">
        <f t="shared" si="8"/>
        <v>0.18439700995983163</v>
      </c>
      <c r="E148">
        <f t="shared" si="6"/>
        <v>0.2283470835061219</v>
      </c>
    </row>
    <row r="149" spans="1:5" x14ac:dyDescent="0.35">
      <c r="A149">
        <v>146</v>
      </c>
      <c r="B149" s="1">
        <f t="shared" si="7"/>
        <v>2.2356431690925879E-3</v>
      </c>
      <c r="C149" s="1">
        <f t="shared" si="8"/>
        <v>0.32640390268751784</v>
      </c>
      <c r="E149">
        <f t="shared" si="6"/>
        <v>0.3437524936796798</v>
      </c>
    </row>
    <row r="150" spans="1:5" x14ac:dyDescent="0.35">
      <c r="A150">
        <v>147</v>
      </c>
      <c r="B150" s="1">
        <f t="shared" si="7"/>
        <v>3.7919752618622675E-3</v>
      </c>
      <c r="C150" s="1">
        <f t="shared" si="8"/>
        <v>0.55742036349375335</v>
      </c>
      <c r="E150">
        <f t="shared" si="6"/>
        <v>0.49280510503162572</v>
      </c>
    </row>
    <row r="151" spans="1:5" x14ac:dyDescent="0.35">
      <c r="A151">
        <v>148</v>
      </c>
      <c r="B151" s="1">
        <f t="shared" si="7"/>
        <v>6.2003919822342223E-3</v>
      </c>
      <c r="C151" s="1">
        <f t="shared" si="8"/>
        <v>0.91765801337066488</v>
      </c>
      <c r="E151">
        <f t="shared" si="6"/>
        <v>0.6706343967984616</v>
      </c>
    </row>
    <row r="152" spans="1:5" x14ac:dyDescent="0.35">
      <c r="A152">
        <v>149</v>
      </c>
      <c r="B152" s="1">
        <f t="shared" si="7"/>
        <v>9.7652705939438554E-3</v>
      </c>
      <c r="C152" s="1">
        <f t="shared" si="8"/>
        <v>1.4550253184976345</v>
      </c>
      <c r="E152">
        <f t="shared" si="6"/>
        <v>0.86285930968089053</v>
      </c>
    </row>
    <row r="153" spans="1:5" x14ac:dyDescent="0.35">
      <c r="A153">
        <v>150</v>
      </c>
      <c r="B153" s="1">
        <f t="shared" si="7"/>
        <v>1.4799810100154886E-2</v>
      </c>
      <c r="C153" s="1">
        <f t="shared" si="8"/>
        <v>2.2199715150232331</v>
      </c>
      <c r="E153">
        <f t="shared" si="6"/>
        <v>1.0442746006669443</v>
      </c>
    </row>
    <row r="154" spans="1:5" x14ac:dyDescent="0.35">
      <c r="A154">
        <v>151</v>
      </c>
      <c r="B154" s="1">
        <f t="shared" si="7"/>
        <v>2.1562637232013748E-2</v>
      </c>
      <c r="C154" s="1">
        <f t="shared" si="8"/>
        <v>3.2559582220340757</v>
      </c>
      <c r="E154">
        <f t="shared" si="6"/>
        <v>1.1807700148250928</v>
      </c>
    </row>
    <row r="155" spans="1:5" x14ac:dyDescent="0.35">
      <c r="A155">
        <v>152</v>
      </c>
      <c r="B155" s="1">
        <f t="shared" si="7"/>
        <v>3.0168777530756082E-2</v>
      </c>
      <c r="C155" s="1">
        <f t="shared" si="8"/>
        <v>4.5856541846749241</v>
      </c>
      <c r="E155">
        <f t="shared" si="6"/>
        <v>1.2357131276597935</v>
      </c>
    </row>
    <row r="156" spans="1:5" x14ac:dyDescent="0.35">
      <c r="A156">
        <v>153</v>
      </c>
      <c r="B156" s="1">
        <f t="shared" si="7"/>
        <v>4.048794544432624E-2</v>
      </c>
      <c r="C156" s="1">
        <f t="shared" si="8"/>
        <v>6.1946556529819148</v>
      </c>
      <c r="E156">
        <f t="shared" si="6"/>
        <v>1.1806284891565806</v>
      </c>
    </row>
    <row r="157" spans="1:5" x14ac:dyDescent="0.35">
      <c r="A157">
        <v>154</v>
      </c>
      <c r="B157" s="1">
        <f t="shared" si="7"/>
        <v>5.2055929856990903E-2</v>
      </c>
      <c r="C157" s="1">
        <f t="shared" si="8"/>
        <v>8.0166131979765982</v>
      </c>
      <c r="E157">
        <f t="shared" si="6"/>
        <v>1.0078028020313725</v>
      </c>
    </row>
    <row r="158" spans="1:5" x14ac:dyDescent="0.35">
      <c r="A158">
        <v>155</v>
      </c>
      <c r="B158" s="1">
        <f t="shared" si="7"/>
        <v>6.4034391135911445E-2</v>
      </c>
      <c r="C158" s="1">
        <f t="shared" si="8"/>
        <v>9.9253306260662733</v>
      </c>
      <c r="E158">
        <f t="shared" si="6"/>
        <v>0.74023756153116349</v>
      </c>
    </row>
    <row r="159" spans="1:5" x14ac:dyDescent="0.35">
      <c r="A159">
        <v>156</v>
      </c>
      <c r="B159" s="1">
        <f t="shared" si="7"/>
        <v>7.5254092146904414E-2</v>
      </c>
      <c r="C159" s="1">
        <f t="shared" si="8"/>
        <v>11.739638374917089</v>
      </c>
      <c r="E159">
        <f t="shared" si="6"/>
        <v>0.43346357076619202</v>
      </c>
    </row>
    <row r="160" spans="1:5" x14ac:dyDescent="0.35">
      <c r="A160">
        <v>157</v>
      </c>
      <c r="B160" s="1">
        <f t="shared" si="7"/>
        <v>8.4361275272962957E-2</v>
      </c>
      <c r="C160" s="1">
        <f t="shared" si="8"/>
        <v>13.244720217855184</v>
      </c>
      <c r="E160">
        <f t="shared" si="6"/>
        <v>0.16534809953502216</v>
      </c>
    </row>
    <row r="161" spans="1:5" x14ac:dyDescent="0.35">
      <c r="A161">
        <v>158</v>
      </c>
      <c r="B161" s="1">
        <f t="shared" si="7"/>
        <v>9.0056551240757912E-2</v>
      </c>
      <c r="C161" s="1">
        <f t="shared" si="8"/>
        <v>14.22893509603975</v>
      </c>
      <c r="E161">
        <f t="shared" si="6"/>
        <v>1.4409048198525771E-2</v>
      </c>
    </row>
    <row r="162" spans="1:5" x14ac:dyDescent="0.35">
      <c r="A162">
        <v>159</v>
      </c>
      <c r="B162" s="1">
        <f t="shared" si="7"/>
        <v>9.1378135850161107E-2</v>
      </c>
      <c r="C162" s="1">
        <f t="shared" si="8"/>
        <v>14.529123600175616</v>
      </c>
      <c r="E162">
        <f t="shared" si="6"/>
        <v>3.2896128906051147E-2</v>
      </c>
    </row>
    <row r="163" spans="1:5" x14ac:dyDescent="0.35">
      <c r="A163">
        <v>160</v>
      </c>
      <c r="B163" s="1">
        <f t="shared" si="7"/>
        <v>8.7951455755780075E-2</v>
      </c>
      <c r="C163" s="1">
        <f t="shared" si="8"/>
        <v>14.072232920924812</v>
      </c>
      <c r="E163">
        <f t="shared" si="6"/>
        <v>0.22515572673477938</v>
      </c>
    </row>
    <row r="164" spans="1:5" x14ac:dyDescent="0.35">
      <c r="A164">
        <v>161</v>
      </c>
      <c r="B164" s="1">
        <f t="shared" si="7"/>
        <v>8.0121408970068808E-2</v>
      </c>
      <c r="C164" s="1">
        <f t="shared" si="8"/>
        <v>12.899546844181078</v>
      </c>
      <c r="E164">
        <f t="shared" si="6"/>
        <v>0.54162072463763911</v>
      </c>
    </row>
    <row r="165" spans="1:5" x14ac:dyDescent="0.35">
      <c r="A165">
        <v>162</v>
      </c>
      <c r="B165" s="1">
        <f t="shared" si="7"/>
        <v>6.8911006068906919E-2</v>
      </c>
      <c r="C165" s="1">
        <f t="shared" si="8"/>
        <v>11.163582983162922</v>
      </c>
      <c r="E165">
        <f t="shared" si="6"/>
        <v>0.89308663865300264</v>
      </c>
    </row>
    <row r="166" spans="1:5" x14ac:dyDescent="0.35">
      <c r="A166">
        <v>163</v>
      </c>
      <c r="B166" s="1">
        <f t="shared" si="7"/>
        <v>5.5805231908562666E-2</v>
      </c>
      <c r="C166" s="1">
        <f t="shared" si="8"/>
        <v>9.096252801095714</v>
      </c>
      <c r="E166">
        <f t="shared" si="6"/>
        <v>1.1808387071851538</v>
      </c>
    </row>
    <row r="167" spans="1:5" x14ac:dyDescent="0.35">
      <c r="A167">
        <v>164</v>
      </c>
      <c r="B167" s="1">
        <f t="shared" si="7"/>
        <v>4.2421050271956182E-2</v>
      </c>
      <c r="C167" s="1">
        <f t="shared" si="8"/>
        <v>6.9570522446008134</v>
      </c>
      <c r="E167">
        <f t="shared" si="6"/>
        <v>1.3303241365285161</v>
      </c>
    </row>
    <row r="168" spans="1:5" x14ac:dyDescent="0.35">
      <c r="A168">
        <v>165</v>
      </c>
      <c r="B168" s="1">
        <f t="shared" si="7"/>
        <v>3.0166080193391065E-2</v>
      </c>
      <c r="C168" s="1">
        <f t="shared" si="8"/>
        <v>4.977403231909526</v>
      </c>
      <c r="E168">
        <f t="shared" si="6"/>
        <v>1.31403445322409</v>
      </c>
    </row>
    <row r="169" spans="1:5" x14ac:dyDescent="0.35">
      <c r="A169">
        <v>166</v>
      </c>
      <c r="B169" s="1">
        <f t="shared" si="7"/>
        <v>1.9989571212488063E-2</v>
      </c>
      <c r="C169" s="1">
        <f t="shared" si="8"/>
        <v>3.3182688212730183</v>
      </c>
      <c r="E169">
        <f t="shared" si="6"/>
        <v>1.1545976332332917</v>
      </c>
    </row>
    <row r="170" spans="1:5" x14ac:dyDescent="0.35">
      <c r="A170">
        <v>167</v>
      </c>
      <c r="B170" s="1">
        <f t="shared" si="7"/>
        <v>1.2288997871150361E-2</v>
      </c>
      <c r="C170" s="1">
        <f t="shared" si="8"/>
        <v>2.0522626444821102</v>
      </c>
      <c r="E170">
        <f t="shared" si="6"/>
        <v>0.9088942825502675</v>
      </c>
    </row>
    <row r="171" spans="1:5" x14ac:dyDescent="0.35">
      <c r="A171">
        <v>168</v>
      </c>
      <c r="B171" s="1">
        <f t="shared" si="7"/>
        <v>6.973518633232147E-3</v>
      </c>
      <c r="C171" s="1">
        <f t="shared" si="8"/>
        <v>1.1715511303830006</v>
      </c>
      <c r="E171">
        <f t="shared" si="6"/>
        <v>0.64267947723866636</v>
      </c>
    </row>
    <row r="172" spans="1:5" x14ac:dyDescent="0.35">
      <c r="A172">
        <v>169</v>
      </c>
      <c r="B172" s="1">
        <f t="shared" si="7"/>
        <v>3.6311813001445479E-3</v>
      </c>
      <c r="C172" s="1">
        <f t="shared" si="8"/>
        <v>0.61366963972442856</v>
      </c>
      <c r="E172">
        <f t="shared" si="6"/>
        <v>0.40799953088423663</v>
      </c>
    </row>
    <row r="173" spans="1:5" x14ac:dyDescent="0.35">
      <c r="A173">
        <v>170</v>
      </c>
      <c r="B173" s="1">
        <f t="shared" si="7"/>
        <v>1.7230311267352554E-3</v>
      </c>
      <c r="C173" s="1">
        <f t="shared" si="8"/>
        <v>0.29291529154499341</v>
      </c>
      <c r="E173">
        <f t="shared" si="6"/>
        <v>0.23185106841349348</v>
      </c>
    </row>
    <row r="174" spans="1:5" x14ac:dyDescent="0.35">
      <c r="A174">
        <v>171</v>
      </c>
      <c r="B174" s="1">
        <f t="shared" si="7"/>
        <v>7.3892173076365751E-4</v>
      </c>
      <c r="C174" s="1">
        <f t="shared" si="8"/>
        <v>0.12635561596058542</v>
      </c>
      <c r="E174">
        <f t="shared" si="6"/>
        <v>0.11731121397603711</v>
      </c>
    </row>
    <row r="175" spans="1:5" x14ac:dyDescent="0.35">
      <c r="A175">
        <v>172</v>
      </c>
      <c r="B175" s="1">
        <f t="shared" si="7"/>
        <v>2.835397338976825E-4</v>
      </c>
      <c r="C175" s="1">
        <f t="shared" si="8"/>
        <v>4.8768834230401389E-2</v>
      </c>
      <c r="E175">
        <f t="shared" si="6"/>
        <v>5.2443509181714872E-2</v>
      </c>
    </row>
    <row r="176" spans="1:5" x14ac:dyDescent="0.35">
      <c r="A176">
        <v>173</v>
      </c>
      <c r="B176" s="1">
        <f t="shared" si="7"/>
        <v>9.6152202631969523E-5</v>
      </c>
      <c r="C176" s="1">
        <f t="shared" si="8"/>
        <v>1.6634331055330728E-2</v>
      </c>
      <c r="E176">
        <f t="shared" si="6"/>
        <v>2.0495803513030448E-2</v>
      </c>
    </row>
    <row r="177" spans="1:5" x14ac:dyDescent="0.35">
      <c r="A177">
        <v>174</v>
      </c>
      <c r="B177" s="1">
        <f t="shared" si="7"/>
        <v>2.8366741772649962E-5</v>
      </c>
      <c r="C177" s="1">
        <f t="shared" si="8"/>
        <v>4.9358130684410938E-3</v>
      </c>
      <c r="E177">
        <f t="shared" si="6"/>
        <v>6.9033302777920394E-3</v>
      </c>
    </row>
    <row r="178" spans="1:5" x14ac:dyDescent="0.35">
      <c r="A178">
        <v>175</v>
      </c>
      <c r="B178" s="1">
        <f t="shared" si="7"/>
        <v>7.1322093599805608E-6</v>
      </c>
      <c r="C178" s="1">
        <f t="shared" si="8"/>
        <v>1.2481366379965982E-3</v>
      </c>
      <c r="E178">
        <f t="shared" si="6"/>
        <v>1.9653516112362285E-3</v>
      </c>
    </row>
    <row r="179" spans="1:5" x14ac:dyDescent="0.35">
      <c r="A179">
        <v>176</v>
      </c>
      <c r="B179" s="1">
        <f t="shared" si="7"/>
        <v>1.4858769499959493E-6</v>
      </c>
      <c r="C179" s="1">
        <f t="shared" si="8"/>
        <v>2.6151434319928709E-4</v>
      </c>
      <c r="E179">
        <f t="shared" si="6"/>
        <v>4.6026524403074197E-4</v>
      </c>
    </row>
    <row r="180" spans="1:5" x14ac:dyDescent="0.35">
      <c r="A180">
        <v>177</v>
      </c>
      <c r="B180" s="1">
        <f t="shared" si="7"/>
        <v>2.4624702749462106E-7</v>
      </c>
      <c r="C180" s="1">
        <f t="shared" si="8"/>
        <v>4.358572386654793E-5</v>
      </c>
      <c r="E180">
        <f t="shared" si="6"/>
        <v>8.519162163203852E-5</v>
      </c>
    </row>
    <row r="181" spans="1:5" x14ac:dyDescent="0.35">
      <c r="A181">
        <v>178</v>
      </c>
      <c r="B181" s="1">
        <f t="shared" si="7"/>
        <v>3.0435025870121767E-8</v>
      </c>
      <c r="C181" s="1">
        <f t="shared" si="8"/>
        <v>5.4174346048816746E-6</v>
      </c>
      <c r="E181">
        <f t="shared" si="6"/>
        <v>1.1691919538265903E-5</v>
      </c>
    </row>
    <row r="182" spans="1:5" x14ac:dyDescent="0.35">
      <c r="A182">
        <v>179</v>
      </c>
      <c r="B182" s="1">
        <f t="shared" si="7"/>
        <v>2.4937451364717978E-9</v>
      </c>
      <c r="C182" s="1">
        <f t="shared" si="8"/>
        <v>4.4638037942845182E-7</v>
      </c>
      <c r="E182">
        <f t="shared" si="6"/>
        <v>1.0582456861131657E-6</v>
      </c>
    </row>
    <row r="183" spans="1:5" x14ac:dyDescent="0.35">
      <c r="A183">
        <v>180</v>
      </c>
      <c r="B183" s="1">
        <f t="shared" si="7"/>
        <v>1.0159702407848068E-10</v>
      </c>
      <c r="C183" s="1">
        <f t="shared" si="8"/>
        <v>1.8287464334126522E-8</v>
      </c>
      <c r="E183">
        <f t="shared" si="6"/>
        <v>4.7401107554055666E-8</v>
      </c>
    </row>
    <row r="184" spans="1:5" x14ac:dyDescent="0.35">
      <c r="C184" s="1">
        <f>SUM(C3:C183)</f>
        <v>158.40000000000006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17AA5-A6B5-43BC-AE58-039AC8A6A087}">
  <dimension ref="A1:N19"/>
  <sheetViews>
    <sheetView topLeftCell="B13" workbookViewId="0">
      <selection activeCell="H11" sqref="H11"/>
    </sheetView>
  </sheetViews>
  <sheetFormatPr defaultRowHeight="14.5" x14ac:dyDescent="0.35"/>
  <cols>
    <col min="7" max="7" width="9.90625" customWidth="1"/>
    <col min="8" max="8" width="12.36328125" bestFit="1" customWidth="1"/>
    <col min="13" max="13" width="23.54296875" bestFit="1" customWidth="1"/>
  </cols>
  <sheetData>
    <row r="1" spans="1:14" x14ac:dyDescent="0.35">
      <c r="A1" t="s">
        <v>44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s="143" cm="1">
        <f t="array" ref="H1:H10">_xlfn.BINOM.DIST(A2:A11,15,0.88,1)</f>
        <v>1.5407021574586395E-14</v>
      </c>
      <c r="I1" s="147">
        <f>_xlfn.BINOM.DIST.RANGE(N2,N5,A2,A14)</f>
        <v>0.26543439548683395</v>
      </c>
      <c r="J1" t="s">
        <v>6</v>
      </c>
      <c r="K1">
        <v>17</v>
      </c>
      <c r="M1" t="s">
        <v>22</v>
      </c>
      <c r="N1" s="1">
        <v>12</v>
      </c>
    </row>
    <row r="2" spans="1:14" x14ac:dyDescent="0.35">
      <c r="A2">
        <v>0</v>
      </c>
      <c r="B2" s="1">
        <f>_xlfn.BINOM.DIST(A2,$A$17,0.88,FALSE)</f>
        <v>1.5407021574586395E-14</v>
      </c>
      <c r="C2" s="1">
        <f>A2*B2</f>
        <v>0</v>
      </c>
      <c r="E2">
        <f>(A2-D$5)^2*B2</f>
        <v>2.684519439155934E-12</v>
      </c>
      <c r="F2">
        <f>SUM(E2:E17)</f>
        <v>1.5840000000000003</v>
      </c>
      <c r="G2">
        <f>SQRT(F2)</f>
        <v>1.258570617804182</v>
      </c>
      <c r="H2" s="143">
        <v>1.7101793947790904E-12</v>
      </c>
      <c r="I2" s="143" cm="1">
        <f t="array" ref="I2:I14">_xlfn.BINOM.DIST(A2:A14,K1,N5,TRUE)</f>
        <v>2.218611106740437E-16</v>
      </c>
      <c r="J2" t="s">
        <v>44</v>
      </c>
      <c r="K2">
        <v>12</v>
      </c>
      <c r="L2">
        <f>K2/K1</f>
        <v>0.70588235294117652</v>
      </c>
      <c r="M2" t="s">
        <v>24</v>
      </c>
      <c r="N2">
        <v>15</v>
      </c>
    </row>
    <row r="3" spans="1:14" x14ac:dyDescent="0.35">
      <c r="A3">
        <v>1</v>
      </c>
      <c r="B3" s="1">
        <f t="shared" ref="B3:B17" si="0">_xlfn.BINOM.DIST(A3,$A$17,0.88,FALSE)</f>
        <v>1.6947723732045015E-12</v>
      </c>
      <c r="C3" s="1">
        <f t="shared" ref="C3:C17" si="1">A3*B3</f>
        <v>1.6947723732045015E-12</v>
      </c>
      <c r="E3">
        <f t="shared" ref="E3:E17" si="2">(A3-D$5)^2*B3</f>
        <v>2.5224992002775805E-10</v>
      </c>
      <c r="H3" s="143">
        <v>8.870849455260997E-11</v>
      </c>
      <c r="I3" s="143">
        <v>2.7880546241371504E-14</v>
      </c>
      <c r="J3" t="s">
        <v>0</v>
      </c>
      <c r="K3">
        <v>0.88</v>
      </c>
      <c r="M3" t="s">
        <v>25</v>
      </c>
      <c r="N3">
        <f>K5</f>
        <v>14.96</v>
      </c>
    </row>
    <row r="4" spans="1:14" x14ac:dyDescent="0.35">
      <c r="A4">
        <v>2</v>
      </c>
      <c r="B4" s="1">
        <f t="shared" si="0"/>
        <v>8.699831515783074E-11</v>
      </c>
      <c r="C4" s="1">
        <f t="shared" si="1"/>
        <v>1.7399663031566148E-10</v>
      </c>
      <c r="E4">
        <f t="shared" si="2"/>
        <v>1.0913068653398291E-8</v>
      </c>
      <c r="H4" s="143">
        <v>2.8533216206792431E-9</v>
      </c>
      <c r="I4" s="143">
        <v>1.6505234072422878E-12</v>
      </c>
      <c r="J4" t="s">
        <v>1</v>
      </c>
      <c r="K4">
        <f>1-K3</f>
        <v>0.12</v>
      </c>
      <c r="M4" t="s">
        <v>26</v>
      </c>
      <c r="N4" s="1">
        <f>K6</f>
        <v>1.3398507379555382</v>
      </c>
    </row>
    <row r="5" spans="1:14" x14ac:dyDescent="0.35">
      <c r="A5">
        <v>3</v>
      </c>
      <c r="B5" s="1">
        <f t="shared" si="0"/>
        <v>2.7646131261266301E-9</v>
      </c>
      <c r="C5" s="1">
        <f t="shared" si="1"/>
        <v>8.2938393783798908E-9</v>
      </c>
      <c r="D5" s="3">
        <f>SUM(C2:C17)</f>
        <v>13.200000000000001</v>
      </c>
      <c r="E5">
        <f t="shared" si="2"/>
        <v>2.8763034964221465E-7</v>
      </c>
      <c r="F5">
        <f>SUM(E2:E17)</f>
        <v>1.5840000000000003</v>
      </c>
      <c r="G5">
        <f>SQRT(F5)</f>
        <v>1.258570617804182</v>
      </c>
      <c r="H5" s="143">
        <v>6.3674810395465222E-8</v>
      </c>
      <c r="I5" s="143">
        <v>6.1147428310609324E-11</v>
      </c>
      <c r="J5" t="s">
        <v>274</v>
      </c>
      <c r="K5" s="1">
        <f>K1*K3</f>
        <v>14.96</v>
      </c>
      <c r="M5" t="s">
        <v>27</v>
      </c>
      <c r="N5">
        <v>0.88</v>
      </c>
    </row>
    <row r="6" spans="1:14" x14ac:dyDescent="0.35">
      <c r="A6">
        <v>4</v>
      </c>
      <c r="B6" s="1">
        <f t="shared" si="0"/>
        <v>6.0821488774785863E-8</v>
      </c>
      <c r="C6" s="1">
        <f t="shared" si="1"/>
        <v>2.4328595509914345E-7</v>
      </c>
      <c r="D6">
        <f>_xlfn.BINOM.DIST.RANGE(K1,K3,C2,C11)</f>
        <v>2.218611106740437E-16</v>
      </c>
      <c r="E6">
        <f t="shared" si="2"/>
        <v>5.1479308098978767E-6</v>
      </c>
      <c r="H6" s="143">
        <v>1.0449281626286768E-6</v>
      </c>
      <c r="I6" s="143">
        <v>1.5882346541636943E-9</v>
      </c>
      <c r="J6" t="s">
        <v>230</v>
      </c>
      <c r="K6" s="1">
        <f>SQRT(K1*K3*K4)</f>
        <v>1.3398507379555382</v>
      </c>
      <c r="M6" t="s">
        <v>29</v>
      </c>
      <c r="N6" s="1">
        <f>_xlfn.NORM.DIST(N1,N3,N4,TRUE)</f>
        <v>1.358032105358899E-2</v>
      </c>
    </row>
    <row r="7" spans="1:14" x14ac:dyDescent="0.35">
      <c r="A7">
        <v>5</v>
      </c>
      <c r="B7" s="1">
        <f t="shared" si="0"/>
        <v>9.8125335223321084E-7</v>
      </c>
      <c r="C7" s="1">
        <f t="shared" si="1"/>
        <v>4.906266761166054E-6</v>
      </c>
      <c r="E7">
        <f t="shared" si="2"/>
        <v>6.5979475404161119E-5</v>
      </c>
      <c r="H7" s="143">
        <v>1.3038024689923499E-5</v>
      </c>
      <c r="I7" s="143">
        <v>3.0704697760429243E-8</v>
      </c>
      <c r="J7" t="s">
        <v>323</v>
      </c>
      <c r="K7">
        <f>_xlfn.BINOM.DIST(K2,K1,K3,FALSE)</f>
        <v>3.3208449666106192E-2</v>
      </c>
      <c r="M7" t="s">
        <v>253</v>
      </c>
      <c r="N7" s="1">
        <f>_xlfn.NORM.DIST(N1,N3,N4,TRUE)</f>
        <v>1.358032105358899E-2</v>
      </c>
    </row>
    <row r="8" spans="1:14" x14ac:dyDescent="0.35">
      <c r="A8">
        <v>6</v>
      </c>
      <c r="B8" s="1">
        <f t="shared" si="0"/>
        <v>1.1993096527294816E-5</v>
      </c>
      <c r="C8" s="1">
        <f t="shared" si="1"/>
        <v>7.1958579163768896E-5</v>
      </c>
      <c r="E8">
        <f t="shared" si="2"/>
        <v>6.2172212397496344E-4</v>
      </c>
      <c r="H8" s="143">
        <v>1.2611579194727471E-4</v>
      </c>
      <c r="I8" s="143">
        <v>4.5774615665232242E-7</v>
      </c>
      <c r="K8">
        <f>((FACT(K1))/(((FACT(K1-K2))* FACT( K2)))*(K3^K2)*K4^(K1-K2))</f>
        <v>3.320844966610622E-2</v>
      </c>
      <c r="M8" t="s">
        <v>255</v>
      </c>
      <c r="N8" s="1">
        <f>1-_xlfn.NORM.DIST(N1,N3,N4,TRUE)</f>
        <v>0.98641967894641103</v>
      </c>
    </row>
    <row r="9" spans="1:14" x14ac:dyDescent="0.35">
      <c r="A9">
        <v>7</v>
      </c>
      <c r="B9" s="1">
        <f t="shared" si="0"/>
        <v>1.130777672573512E-4</v>
      </c>
      <c r="C9" s="1">
        <f t="shared" si="1"/>
        <v>7.9154437080145837E-4</v>
      </c>
      <c r="E9">
        <f t="shared" si="2"/>
        <v>4.3467093733725818E-3</v>
      </c>
      <c r="H9" s="143">
        <v>9.5535275183451643E-4</v>
      </c>
      <c r="I9" s="143">
        <v>5.3788905876922429E-6</v>
      </c>
      <c r="J9" t="s">
        <v>324</v>
      </c>
      <c r="K9">
        <f>K5+K6*2</f>
        <v>17.639701475911078</v>
      </c>
      <c r="M9" t="s">
        <v>35</v>
      </c>
      <c r="N9" s="34">
        <f>_xlfn.NORM.DIST(N2,N3,N4,TRUE)-_xlfn.NORM.DIST(N1,N3,N4,TRUE)</f>
        <v>0.49832796145684877</v>
      </c>
    </row>
    <row r="10" spans="1:14" x14ac:dyDescent="0.35">
      <c r="A10">
        <v>8</v>
      </c>
      <c r="B10" s="1">
        <f t="shared" si="0"/>
        <v>8.2923695988724208E-4</v>
      </c>
      <c r="C10" s="1">
        <f t="shared" si="1"/>
        <v>6.6338956790979366E-3</v>
      </c>
      <c r="E10">
        <f t="shared" si="2"/>
        <v>2.2422567395351034E-2</v>
      </c>
      <c r="H10" s="147">
        <v>5.6850746711913699E-3</v>
      </c>
      <c r="I10" s="143">
        <v>5.0489381205558213E-5</v>
      </c>
      <c r="J10" t="s">
        <v>325</v>
      </c>
      <c r="K10">
        <f>K5+K6*3</f>
        <v>18.979552213866615</v>
      </c>
      <c r="M10" t="s">
        <v>37</v>
      </c>
      <c r="N10" s="2">
        <f>_xlfn.NORM.INV(N5,N3,N4)</f>
        <v>16.534306920437764</v>
      </c>
    </row>
    <row r="11" spans="1:14" x14ac:dyDescent="0.35">
      <c r="A11">
        <v>9</v>
      </c>
      <c r="B11" s="1">
        <f t="shared" si="0"/>
        <v>4.7297219193568512E-3</v>
      </c>
      <c r="C11" s="1">
        <f t="shared" si="1"/>
        <v>4.2567497274211663E-2</v>
      </c>
      <c r="E11">
        <f t="shared" si="2"/>
        <v>8.3432294657454886E-2</v>
      </c>
      <c r="G11" t="s">
        <v>326</v>
      </c>
      <c r="H11" s="147">
        <f>_xlfn.BINOM.DIST.RANGE(15,0.88,0,9)</f>
        <v>5.6850746711913699E-3</v>
      </c>
      <c r="I11" s="143">
        <v>3.8129964573657541E-4</v>
      </c>
      <c r="M11" t="s">
        <v>38</v>
      </c>
      <c r="N11" s="2">
        <f>_xlfn.NORM.INV(1-N5,N3,N4)</f>
        <v>13.385693079562239</v>
      </c>
    </row>
    <row r="12" spans="1:14" x14ac:dyDescent="0.35">
      <c r="A12">
        <v>10</v>
      </c>
      <c r="B12" s="1">
        <f t="shared" si="0"/>
        <v>2.0810776445170192E-2</v>
      </c>
      <c r="C12" s="1">
        <f t="shared" si="1"/>
        <v>0.20810776445170193</v>
      </c>
      <c r="E12">
        <f t="shared" si="2"/>
        <v>0.21310235079854292</v>
      </c>
      <c r="I12">
        <v>2.3220531976518746E-3</v>
      </c>
      <c r="M12" t="s">
        <v>39</v>
      </c>
      <c r="N12" s="2">
        <f>_xlfn.NORM.INV(N5,N3,N4*2)</f>
        <v>18.108613840875524</v>
      </c>
    </row>
    <row r="13" spans="1:14" x14ac:dyDescent="0.35">
      <c r="A13">
        <v>11</v>
      </c>
      <c r="B13" s="1">
        <f t="shared" si="0"/>
        <v>6.9369254817233925E-2</v>
      </c>
      <c r="C13" s="1">
        <f t="shared" si="1"/>
        <v>0.76306180298957316</v>
      </c>
      <c r="E13">
        <f t="shared" si="2"/>
        <v>0.33574719331541247</v>
      </c>
      <c r="I13">
        <v>1.1378903106589924E-2</v>
      </c>
      <c r="M13" t="s">
        <v>40</v>
      </c>
      <c r="N13" s="2">
        <f>_xlfn.NORM.INV(1-N5,N3,N4*2)</f>
        <v>11.811386159124478</v>
      </c>
    </row>
    <row r="14" spans="1:14" x14ac:dyDescent="0.35">
      <c r="A14">
        <v>12</v>
      </c>
      <c r="B14" s="1">
        <f t="shared" si="0"/>
        <v>0.16956928955323847</v>
      </c>
      <c r="C14" s="1">
        <f t="shared" si="1"/>
        <v>2.0348314746388616</v>
      </c>
      <c r="E14">
        <f t="shared" si="2"/>
        <v>0.24417977695666385</v>
      </c>
      <c r="I14" s="145">
        <v>4.4587352772696147E-2</v>
      </c>
      <c r="L14" t="s">
        <v>41</v>
      </c>
      <c r="M14" s="8" t="e">
        <f>N3+(#REF!*N4)</f>
        <v>#REF!</v>
      </c>
    </row>
    <row r="15" spans="1:14" x14ac:dyDescent="0.35">
      <c r="A15">
        <v>13</v>
      </c>
      <c r="B15" s="1">
        <f t="shared" si="0"/>
        <v>0.28696341309009588</v>
      </c>
      <c r="C15" s="1">
        <f t="shared" si="1"/>
        <v>3.7305243701712465</v>
      </c>
      <c r="E15">
        <f t="shared" si="2"/>
        <v>1.1478536523603956E-2</v>
      </c>
      <c r="H15" s="45" t="s">
        <v>327</v>
      </c>
      <c r="I15" s="145">
        <f>_xlfn.BINOM.DIST.RANGE(15,0.88,0,12)</f>
        <v>0.26543439548683395</v>
      </c>
      <c r="L15" t="s">
        <v>42</v>
      </c>
      <c r="M15" s="8">
        <v>25</v>
      </c>
    </row>
    <row r="16" spans="1:14" x14ac:dyDescent="0.35">
      <c r="A16">
        <v>14</v>
      </c>
      <c r="B16" s="1">
        <f t="shared" si="0"/>
        <v>0.30062833752295764</v>
      </c>
      <c r="C16" s="1">
        <f t="shared" si="1"/>
        <v>4.2087967253214069</v>
      </c>
      <c r="E16">
        <f t="shared" si="2"/>
        <v>0.19240213601469239</v>
      </c>
      <c r="I16" s="145">
        <f>_xlfn.BINOM.DIST(12,15,0.88,1)</f>
        <v>0.26543439548683395</v>
      </c>
      <c r="L16" t="s">
        <v>258</v>
      </c>
      <c r="M16" s="1">
        <f>N4/(SQRT(M15))</f>
        <v>0.26797014759110765</v>
      </c>
    </row>
    <row r="17" spans="1:9" x14ac:dyDescent="0.35">
      <c r="A17">
        <v>15</v>
      </c>
      <c r="B17" s="1">
        <f t="shared" si="0"/>
        <v>0.14697385390011264</v>
      </c>
      <c r="C17" s="1">
        <f t="shared" si="1"/>
        <v>2.2046078085016898</v>
      </c>
      <c r="E17">
        <f t="shared" si="2"/>
        <v>0.4761952866363644</v>
      </c>
      <c r="H17" s="45" t="s">
        <v>328</v>
      </c>
      <c r="I17">
        <f>_xlfn.BINOM.DIST.RANGE(15,0.88,12)</f>
        <v>0.16956928955323847</v>
      </c>
    </row>
    <row r="18" spans="1:9" x14ac:dyDescent="0.35">
      <c r="C18" s="1">
        <f>SUM(C2:C17)</f>
        <v>13.200000000000001</v>
      </c>
      <c r="H18" s="45" t="s">
        <v>329</v>
      </c>
      <c r="I18">
        <f>_xlfn.BINOM.DIST.RANGE(15,0.88,0,12)</f>
        <v>0.26543439548683395</v>
      </c>
    </row>
    <row r="19" spans="1:9" x14ac:dyDescent="0.35">
      <c r="H19" s="45" t="s">
        <v>330</v>
      </c>
      <c r="I19">
        <f>_xlfn.BINOM.DIST.RANGE(15,0.88,9,12)</f>
        <v>0.26447904273499945</v>
      </c>
    </row>
  </sheetData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259E7-07A4-421C-AFE8-5D88A4736ECC}">
  <dimension ref="A1:O31"/>
  <sheetViews>
    <sheetView workbookViewId="0">
      <selection activeCell="D12" sqref="D12"/>
    </sheetView>
  </sheetViews>
  <sheetFormatPr defaultRowHeight="14.5" x14ac:dyDescent="0.35"/>
  <cols>
    <col min="1" max="1" width="23.90625" bestFit="1" customWidth="1"/>
    <col min="4" max="4" width="26.90625" customWidth="1"/>
  </cols>
  <sheetData>
    <row r="1" spans="1:15" ht="16.5" x14ac:dyDescent="0.45">
      <c r="A1" s="45" t="s">
        <v>87</v>
      </c>
      <c r="C1">
        <v>0.2</v>
      </c>
      <c r="D1" s="148" t="s">
        <v>331</v>
      </c>
      <c r="E1" t="s">
        <v>332</v>
      </c>
      <c r="F1" t="s">
        <v>333</v>
      </c>
      <c r="G1" t="s">
        <v>334</v>
      </c>
      <c r="H1" s="12"/>
      <c r="I1" s="12" t="s">
        <v>332</v>
      </c>
      <c r="J1" s="12" t="s">
        <v>333</v>
      </c>
      <c r="K1" s="12" t="s">
        <v>334</v>
      </c>
      <c r="M1" s="12" t="s">
        <v>332</v>
      </c>
      <c r="N1" s="12" t="s">
        <v>333</v>
      </c>
      <c r="O1" s="12" t="s">
        <v>334</v>
      </c>
    </row>
    <row r="2" spans="1:15" ht="15" thickBot="1" x14ac:dyDescent="0.4">
      <c r="A2" s="45" t="s">
        <v>1</v>
      </c>
      <c r="B2">
        <f t="shared" ref="B2:C2" si="0">1-B1</f>
        <v>1</v>
      </c>
      <c r="C2">
        <f t="shared" si="0"/>
        <v>0.8</v>
      </c>
      <c r="D2" s="149">
        <f>COUNTIF(G2:G31,1)</f>
        <v>9</v>
      </c>
      <c r="E2">
        <v>5</v>
      </c>
      <c r="F2">
        <v>4</v>
      </c>
      <c r="G2">
        <f>IF(E2=F2,1,0)</f>
        <v>0</v>
      </c>
      <c r="H2" s="12">
        <v>1</v>
      </c>
      <c r="I2" s="12">
        <v>5</v>
      </c>
      <c r="J2" s="12">
        <v>4</v>
      </c>
      <c r="K2" s="12" t="str">
        <f>IF(I2=J2,"hit","miss")</f>
        <v>miss</v>
      </c>
      <c r="L2" s="12">
        <v>16</v>
      </c>
      <c r="M2" s="12">
        <v>2</v>
      </c>
      <c r="N2" s="12">
        <v>3</v>
      </c>
      <c r="O2" s="12">
        <f t="shared" ref="O2:O16" si="1">IF(M2=N2,1,0)</f>
        <v>0</v>
      </c>
    </row>
    <row r="3" spans="1:15" x14ac:dyDescent="0.35">
      <c r="A3" s="45" t="s">
        <v>88</v>
      </c>
      <c r="B3" s="2">
        <f t="shared" ref="B3:C3" si="2">B8/B10</f>
        <v>0.140625</v>
      </c>
      <c r="C3" s="2">
        <f t="shared" si="2"/>
        <v>0.3</v>
      </c>
      <c r="E3">
        <v>2</v>
      </c>
      <c r="F3">
        <v>1</v>
      </c>
      <c r="G3">
        <f t="shared" ref="G3:G31" si="3">IF(E3=F3,1,0)</f>
        <v>0</v>
      </c>
      <c r="H3" s="12">
        <v>2</v>
      </c>
      <c r="I3" s="12">
        <v>2</v>
      </c>
      <c r="J3" s="12">
        <v>1</v>
      </c>
      <c r="K3" s="12" t="str">
        <f t="shared" ref="K3:K31" si="4">IF(I3=J3,"hit","miss")</f>
        <v>miss</v>
      </c>
      <c r="L3" s="12">
        <v>17</v>
      </c>
      <c r="M3" s="12">
        <v>2</v>
      </c>
      <c r="N3" s="12">
        <v>4</v>
      </c>
      <c r="O3" s="12">
        <f t="shared" si="1"/>
        <v>0</v>
      </c>
    </row>
    <row r="4" spans="1:15" x14ac:dyDescent="0.35">
      <c r="A4" s="45" t="s">
        <v>89</v>
      </c>
      <c r="B4" s="2">
        <f t="shared" ref="B4:C4" si="5">1-B3</f>
        <v>0.859375</v>
      </c>
      <c r="C4" s="2">
        <f t="shared" si="5"/>
        <v>0.7</v>
      </c>
      <c r="E4">
        <v>3</v>
      </c>
      <c r="F4">
        <v>5</v>
      </c>
      <c r="G4">
        <f t="shared" si="3"/>
        <v>0</v>
      </c>
      <c r="H4" s="12">
        <v>3</v>
      </c>
      <c r="I4" s="12">
        <v>3</v>
      </c>
      <c r="J4" s="12">
        <v>5</v>
      </c>
      <c r="K4" s="12" t="str">
        <f t="shared" si="4"/>
        <v>miss</v>
      </c>
      <c r="L4" s="12">
        <v>18</v>
      </c>
      <c r="M4" s="12">
        <v>5</v>
      </c>
      <c r="N4" s="12">
        <v>3</v>
      </c>
      <c r="O4" s="12">
        <f t="shared" si="1"/>
        <v>0</v>
      </c>
    </row>
    <row r="5" spans="1:15" ht="16.5" x14ac:dyDescent="0.45">
      <c r="A5" s="46" t="s">
        <v>90</v>
      </c>
      <c r="B5" s="48">
        <v>0.05</v>
      </c>
      <c r="C5" s="48">
        <v>0.01</v>
      </c>
      <c r="E5">
        <v>2</v>
      </c>
      <c r="F5">
        <v>2</v>
      </c>
      <c r="G5">
        <f t="shared" si="3"/>
        <v>1</v>
      </c>
      <c r="H5" s="12">
        <v>4</v>
      </c>
      <c r="I5" s="12">
        <v>2</v>
      </c>
      <c r="J5" s="12">
        <v>2</v>
      </c>
      <c r="K5" s="12" t="str">
        <f t="shared" si="4"/>
        <v>hit</v>
      </c>
      <c r="L5" s="12">
        <v>19</v>
      </c>
      <c r="M5" s="12">
        <v>1</v>
      </c>
      <c r="N5" s="12">
        <v>2</v>
      </c>
      <c r="O5" s="12">
        <f t="shared" si="1"/>
        <v>0</v>
      </c>
    </row>
    <row r="6" spans="1:15" ht="16.5" x14ac:dyDescent="0.45">
      <c r="A6" s="45" t="s">
        <v>96</v>
      </c>
      <c r="B6">
        <v>2.8436840000000001</v>
      </c>
      <c r="C6">
        <f>_xlfn.STDEV.S(G2:G31)</f>
        <v>0.46609159969939901</v>
      </c>
      <c r="E6">
        <v>4</v>
      </c>
      <c r="F6">
        <v>2</v>
      </c>
      <c r="G6">
        <f t="shared" si="3"/>
        <v>0</v>
      </c>
      <c r="H6" s="12">
        <v>5</v>
      </c>
      <c r="I6" s="12">
        <v>4</v>
      </c>
      <c r="J6" s="12">
        <v>2</v>
      </c>
      <c r="K6" s="12" t="str">
        <f t="shared" si="4"/>
        <v>miss</v>
      </c>
      <c r="L6" s="12">
        <v>20</v>
      </c>
      <c r="M6" s="12">
        <v>2</v>
      </c>
      <c r="N6" s="12">
        <v>1</v>
      </c>
      <c r="O6" s="12">
        <f t="shared" si="1"/>
        <v>0</v>
      </c>
    </row>
    <row r="7" spans="1:15" ht="16.5" x14ac:dyDescent="0.45">
      <c r="A7" s="45" t="s">
        <v>97</v>
      </c>
      <c r="E7">
        <v>2</v>
      </c>
      <c r="F7">
        <v>2</v>
      </c>
      <c r="G7">
        <f t="shared" si="3"/>
        <v>1</v>
      </c>
      <c r="H7" s="12">
        <v>6</v>
      </c>
      <c r="I7" s="12">
        <v>2</v>
      </c>
      <c r="J7" s="12">
        <v>2</v>
      </c>
      <c r="K7" s="12" t="str">
        <f t="shared" si="4"/>
        <v>hit</v>
      </c>
      <c r="L7" s="12">
        <v>21</v>
      </c>
      <c r="M7" s="12">
        <v>4</v>
      </c>
      <c r="N7" s="12">
        <v>5</v>
      </c>
      <c r="O7" s="12">
        <f t="shared" si="1"/>
        <v>0</v>
      </c>
    </row>
    <row r="8" spans="1:15" ht="16.5" x14ac:dyDescent="0.45">
      <c r="A8" s="46" t="s">
        <v>98</v>
      </c>
      <c r="B8" s="54">
        <v>5.625</v>
      </c>
      <c r="C8" s="54">
        <v>9</v>
      </c>
      <c r="E8">
        <v>4</v>
      </c>
      <c r="F8">
        <v>1</v>
      </c>
      <c r="G8">
        <f t="shared" si="3"/>
        <v>0</v>
      </c>
      <c r="H8" s="12">
        <v>7</v>
      </c>
      <c r="I8" s="12">
        <v>4</v>
      </c>
      <c r="J8" s="12">
        <v>1</v>
      </c>
      <c r="K8" s="12" t="str">
        <f t="shared" si="4"/>
        <v>miss</v>
      </c>
      <c r="L8" s="12">
        <v>22</v>
      </c>
      <c r="M8" s="12">
        <v>3</v>
      </c>
      <c r="N8" s="12">
        <v>3</v>
      </c>
      <c r="O8" s="12">
        <f t="shared" si="1"/>
        <v>1</v>
      </c>
    </row>
    <row r="9" spans="1:15" ht="16.5" x14ac:dyDescent="0.45">
      <c r="A9" s="45" t="s">
        <v>99</v>
      </c>
      <c r="B9" s="54">
        <v>5</v>
      </c>
      <c r="C9" s="54"/>
      <c r="E9">
        <v>5</v>
      </c>
      <c r="F9">
        <v>5</v>
      </c>
      <c r="G9">
        <f t="shared" si="3"/>
        <v>1</v>
      </c>
      <c r="H9" s="12">
        <v>8</v>
      </c>
      <c r="I9" s="12">
        <v>5</v>
      </c>
      <c r="J9" s="12">
        <v>5</v>
      </c>
      <c r="K9" s="12" t="str">
        <f t="shared" si="4"/>
        <v>hit</v>
      </c>
      <c r="L9" s="12">
        <v>23</v>
      </c>
      <c r="M9" s="12">
        <v>1</v>
      </c>
      <c r="N9" s="12">
        <v>2</v>
      </c>
      <c r="O9" s="12">
        <f t="shared" si="1"/>
        <v>0</v>
      </c>
    </row>
    <row r="10" spans="1:15" x14ac:dyDescent="0.35">
      <c r="A10" s="45" t="s">
        <v>91</v>
      </c>
      <c r="B10" s="51">
        <v>40</v>
      </c>
      <c r="C10" s="51">
        <f>30</f>
        <v>30</v>
      </c>
      <c r="E10">
        <v>3</v>
      </c>
      <c r="F10">
        <v>3</v>
      </c>
      <c r="G10">
        <f t="shared" si="3"/>
        <v>1</v>
      </c>
      <c r="H10" s="12">
        <v>9</v>
      </c>
      <c r="I10" s="12">
        <v>3</v>
      </c>
      <c r="J10" s="12">
        <v>3</v>
      </c>
      <c r="K10" s="12" t="str">
        <f t="shared" si="4"/>
        <v>hit</v>
      </c>
      <c r="L10" s="12">
        <v>24</v>
      </c>
      <c r="M10" s="12">
        <v>2</v>
      </c>
      <c r="N10" s="12">
        <v>2</v>
      </c>
      <c r="O10" s="12">
        <f t="shared" si="1"/>
        <v>1</v>
      </c>
    </row>
    <row r="11" spans="1:15" ht="16.5" x14ac:dyDescent="0.45">
      <c r="A11" s="45" t="s">
        <v>102</v>
      </c>
      <c r="B11" s="55">
        <f>_xlfn.NORM.DIST(B8,0,1,TRUE)</f>
        <v>0.99999999072460122</v>
      </c>
      <c r="C11" s="55">
        <f>_xlfn.NORM.DIST(C8,0,1,TRUE)</f>
        <v>1</v>
      </c>
      <c r="E11">
        <v>1</v>
      </c>
      <c r="F11">
        <v>4</v>
      </c>
      <c r="G11">
        <f t="shared" si="3"/>
        <v>0</v>
      </c>
      <c r="H11" s="12">
        <v>10</v>
      </c>
      <c r="I11" s="12">
        <v>1</v>
      </c>
      <c r="J11" s="12">
        <v>4</v>
      </c>
      <c r="K11" s="12" t="str">
        <f t="shared" si="4"/>
        <v>miss</v>
      </c>
      <c r="L11" s="12">
        <v>25</v>
      </c>
      <c r="M11" s="12">
        <v>2</v>
      </c>
      <c r="N11" s="12">
        <v>1</v>
      </c>
      <c r="O11" s="12">
        <f t="shared" si="1"/>
        <v>0</v>
      </c>
    </row>
    <row r="12" spans="1:15" ht="16.5" x14ac:dyDescent="0.45">
      <c r="A12" s="45" t="s">
        <v>103</v>
      </c>
      <c r="B12" s="55">
        <f>1-_xlfn.NORM.DIST(B8,0,1,TRUE)</f>
        <v>9.2753987823712691E-9</v>
      </c>
      <c r="C12" s="55">
        <f>1-_xlfn.NORM.DIST(C8,0,1,TRUE)</f>
        <v>0</v>
      </c>
      <c r="E12">
        <v>1</v>
      </c>
      <c r="F12">
        <v>1</v>
      </c>
      <c r="G12">
        <f t="shared" si="3"/>
        <v>1</v>
      </c>
      <c r="H12" s="12">
        <v>11</v>
      </c>
      <c r="I12" s="12">
        <v>1</v>
      </c>
      <c r="J12" s="12">
        <v>1</v>
      </c>
      <c r="K12" s="12" t="str">
        <f t="shared" si="4"/>
        <v>hit</v>
      </c>
      <c r="L12" s="12">
        <v>26</v>
      </c>
      <c r="M12" s="12">
        <v>2</v>
      </c>
      <c r="N12" s="12">
        <v>2</v>
      </c>
      <c r="O12" s="12">
        <f t="shared" si="1"/>
        <v>1</v>
      </c>
    </row>
    <row r="13" spans="1:15" ht="16.5" x14ac:dyDescent="0.45">
      <c r="A13" s="45" t="s">
        <v>104</v>
      </c>
      <c r="B13" s="3" t="e">
        <f>(B3-B1)/(SQRT((B1*B2)/B10))</f>
        <v>#DIV/0!</v>
      </c>
      <c r="C13" s="3">
        <f>(C3-C1)/(SQRT((C1*C2)/C10))</f>
        <v>1.3693063937629149</v>
      </c>
      <c r="D13" s="3">
        <f>((C8/C10)-C1)/SQRT((C1*C2)/C10)</f>
        <v>1.3693063937629149</v>
      </c>
      <c r="E13">
        <v>5</v>
      </c>
      <c r="F13">
        <v>3</v>
      </c>
      <c r="G13">
        <f t="shared" si="3"/>
        <v>0</v>
      </c>
      <c r="H13" s="12">
        <v>12</v>
      </c>
      <c r="I13" s="12">
        <v>5</v>
      </c>
      <c r="J13" s="12">
        <v>3</v>
      </c>
      <c r="K13" s="12" t="str">
        <f t="shared" si="4"/>
        <v>miss</v>
      </c>
      <c r="L13" s="12">
        <v>27</v>
      </c>
      <c r="M13" s="12">
        <v>1</v>
      </c>
      <c r="N13" s="12">
        <v>5</v>
      </c>
      <c r="O13" s="12">
        <f t="shared" si="1"/>
        <v>0</v>
      </c>
    </row>
    <row r="14" spans="1:15" ht="16.5" x14ac:dyDescent="0.45">
      <c r="A14" s="45" t="s">
        <v>100</v>
      </c>
      <c r="B14" s="56">
        <f>((B8-B9)/(B6/SQRT(B10)))</f>
        <v>1.3900444195664758</v>
      </c>
      <c r="C14" s="56">
        <f>((C8-C9)/(C6/SQRT(C10)))</f>
        <v>105.76253725074056</v>
      </c>
      <c r="E14">
        <v>3</v>
      </c>
      <c r="F14">
        <v>1</v>
      </c>
      <c r="G14">
        <f t="shared" si="3"/>
        <v>0</v>
      </c>
      <c r="H14" s="12">
        <v>13</v>
      </c>
      <c r="I14" s="12">
        <v>3</v>
      </c>
      <c r="J14" s="12">
        <v>1</v>
      </c>
      <c r="K14" s="12" t="str">
        <f t="shared" si="4"/>
        <v>miss</v>
      </c>
      <c r="L14" s="12">
        <v>28</v>
      </c>
      <c r="M14" s="12">
        <v>2</v>
      </c>
      <c r="N14" s="12">
        <v>2</v>
      </c>
      <c r="O14" s="12">
        <f t="shared" si="1"/>
        <v>1</v>
      </c>
    </row>
    <row r="15" spans="1:15" ht="16.5" x14ac:dyDescent="0.45">
      <c r="A15" s="45" t="s">
        <v>101</v>
      </c>
      <c r="B15" s="2" t="e">
        <f>(B8-B9)/(B7/SQRT(B10))</f>
        <v>#DIV/0!</v>
      </c>
      <c r="C15" s="2" t="e">
        <f>(C8-C9)/(C7/SQRT(C10))</f>
        <v>#DIV/0!</v>
      </c>
      <c r="E15">
        <v>2</v>
      </c>
      <c r="F15">
        <v>1</v>
      </c>
      <c r="G15">
        <f t="shared" si="3"/>
        <v>0</v>
      </c>
      <c r="H15" s="12">
        <v>14</v>
      </c>
      <c r="I15" s="12">
        <v>2</v>
      </c>
      <c r="J15" s="12">
        <v>1</v>
      </c>
      <c r="K15" s="12" t="str">
        <f t="shared" si="4"/>
        <v>miss</v>
      </c>
      <c r="L15" s="12">
        <v>29</v>
      </c>
      <c r="M15" s="12">
        <v>1</v>
      </c>
      <c r="N15" s="12">
        <v>5</v>
      </c>
      <c r="O15" s="12">
        <f t="shared" si="1"/>
        <v>0</v>
      </c>
    </row>
    <row r="16" spans="1:15" x14ac:dyDescent="0.35">
      <c r="A16" s="69" t="s">
        <v>92</v>
      </c>
      <c r="B16" s="68">
        <f t="shared" ref="B16:C16" si="6">IF(B1&gt;0,IF(B10&gt;0,IF(B13&gt;0,1-_xlfn.NORM.DIST(B13,0,1,1),_xlfn.NORM.DIST(B13,0,1,1)),IF(B8&gt;0,1-_xlfn.NORM.DIST(B8,0,1,1),_xlfn.NORM.DIST(B8,0,1,1))),IF(B14&gt;0,1-_xlfn.T.DIST(B14,B10-1,1),_xlfn.T.DIST(B14,B10-1,1)))</f>
        <v>8.61994331849113E-2</v>
      </c>
      <c r="C16" s="68">
        <f t="shared" si="6"/>
        <v>8.5451760115398789E-2</v>
      </c>
      <c r="D16" s="1">
        <f>1-_xlfn.NORM.DIST(C13,0,1,1)</f>
        <v>8.5451760115398789E-2</v>
      </c>
      <c r="E16">
        <v>4</v>
      </c>
      <c r="F16">
        <v>2</v>
      </c>
      <c r="G16">
        <f t="shared" si="3"/>
        <v>0</v>
      </c>
      <c r="H16" s="12">
        <v>15</v>
      </c>
      <c r="I16" s="12">
        <v>4</v>
      </c>
      <c r="J16" s="12">
        <v>2</v>
      </c>
      <c r="K16" s="12" t="str">
        <f t="shared" si="4"/>
        <v>miss</v>
      </c>
      <c r="L16" s="12">
        <v>30</v>
      </c>
      <c r="M16" s="12">
        <v>2</v>
      </c>
      <c r="N16" s="12">
        <v>4</v>
      </c>
      <c r="O16" s="12">
        <f t="shared" si="1"/>
        <v>0</v>
      </c>
    </row>
    <row r="17" spans="1:11" x14ac:dyDescent="0.35">
      <c r="A17" s="45" t="s">
        <v>93</v>
      </c>
      <c r="B17" s="47" t="str">
        <f>IF(B16&gt;B5,"P&gt;a,Fail to reject H0, not sufficient","P&lt;a, null must go, sufficient")</f>
        <v>P&gt;a,Fail to reject H0, not sufficient</v>
      </c>
      <c r="C17" s="47" t="str">
        <f t="shared" ref="C17" si="7">IF(C16&gt;C5,"P&gt;a,Fail to reject H0, not sufficient","P&lt;a, null must go, sufficient")</f>
        <v>P&gt;a,Fail to reject H0, not sufficient</v>
      </c>
      <c r="E17">
        <v>2</v>
      </c>
      <c r="F17">
        <v>3</v>
      </c>
      <c r="G17">
        <f t="shared" si="3"/>
        <v>0</v>
      </c>
      <c r="H17" s="12">
        <v>16</v>
      </c>
      <c r="I17" s="12">
        <v>2</v>
      </c>
      <c r="J17" s="12">
        <v>3</v>
      </c>
      <c r="K17" s="12" t="str">
        <f t="shared" si="4"/>
        <v>miss</v>
      </c>
    </row>
    <row r="18" spans="1:11" ht="16.5" x14ac:dyDescent="0.45">
      <c r="A18" s="66" t="s">
        <v>106</v>
      </c>
      <c r="B18" s="67">
        <f>IF(B1&gt;0,IF(ISBLANK(B9),IF(ISBLANK(B10),IF(B$8&gt;0,(1-_xlfn.NORM.DIST(B$8,0,1,1))*2,(_xlfn.NORM.DIST(B$8,0,1,1))*2),IF(B13&gt;0,(1-_xlfn.NORM.DIST(B13,0,1,1))*2,(_xlfn.NORM.DIST(B13,0,1,1))*2)),IF(B8&gt;0,(1-_xlfn.NORM.DIST(B8,0,1,1))*2,(_xlfn.NORM.DIST(B8,0,1,1))*2)),IF(B14&gt;0,(1-_xlfn.T.DIST(B14,B10-1,1))*2,(_xlfn.T.DIST(B14,B10-1,1))*2))</f>
        <v>0.1723988663698226</v>
      </c>
      <c r="C18" s="67">
        <f>IF(C1&gt;0,IF(ISBLANK(C9),IF(ISBLANK(C10),IF(C$8&gt;0,(1-_xlfn.NORM.DIST(C$8,0,1,1))*2,(_xlfn.NORM.DIST(C$8,0,1,1))*2),IF(C13&gt;0,(1-_xlfn.NORM.DIST(C13,0,1,1))*2,(_xlfn.NORM.DIST(C13,0,1,1))*2)),IF(C8&gt;0,(1-_xlfn.NORM.DIST(C8,0,1,1))*2,(_xlfn.NORM.DIST(C8,0,1,1))*2)),IF(C14&gt;0,(1-_xlfn.T.DIST(C14,C10-1,1))*2,(_xlfn.T.DIST(C14,C10-1,1))*2))</f>
        <v>0.17090352023079758</v>
      </c>
      <c r="E18">
        <v>2</v>
      </c>
      <c r="F18">
        <v>4</v>
      </c>
      <c r="G18">
        <f t="shared" si="3"/>
        <v>0</v>
      </c>
      <c r="H18" s="12">
        <v>17</v>
      </c>
      <c r="I18" s="12">
        <v>2</v>
      </c>
      <c r="J18" s="12">
        <v>4</v>
      </c>
      <c r="K18" s="12" t="str">
        <f t="shared" si="4"/>
        <v>miss</v>
      </c>
    </row>
    <row r="19" spans="1:11" x14ac:dyDescent="0.35">
      <c r="A19" s="45" t="s">
        <v>95</v>
      </c>
      <c r="B19" s="47" t="str" cm="1">
        <f t="array" ref="B19">IF(B18=0,IF(P&gt;a,"Fail to reject H0, not sufficient","B18&lt;B5,P&lt;a,Null must go, sufficient"),IF(B18&gt;B5,"P&gt;a,Fail to reject H0, sufficient","p&lt;a,null must go, sufficient"))</f>
        <v>P&gt;a,Fail to reject H0, sufficient</v>
      </c>
      <c r="C19" s="47" t="str" cm="1">
        <f t="array" ref="C19">IF(C18=0,IF(P&gt;a,"Fail to reject H0, not sufficient","B18&lt;B5,P&lt;a,Null must go, sufficient"),IF(C18&gt;C5,"P&gt;a,Fail to reject H0, sufficient","p&lt;a,null must go, sufficient"))</f>
        <v>P&gt;a,Fail to reject H0, sufficient</v>
      </c>
      <c r="E19">
        <v>5</v>
      </c>
      <c r="F19">
        <v>3</v>
      </c>
      <c r="G19">
        <f t="shared" si="3"/>
        <v>0</v>
      </c>
      <c r="H19" s="12">
        <v>18</v>
      </c>
      <c r="I19" s="12">
        <v>5</v>
      </c>
      <c r="J19" s="12">
        <v>3</v>
      </c>
      <c r="K19" s="12" t="str">
        <f t="shared" si="4"/>
        <v>miss</v>
      </c>
    </row>
    <row r="20" spans="1:11" x14ac:dyDescent="0.35">
      <c r="A20" s="45" t="s">
        <v>94</v>
      </c>
      <c r="B20" t="str">
        <f>IF(B16&gt;B5,"If P&gt;α, Fail to rejectH0, not sufficient evidence to support","if P&lt;=α, Reject H0,  There is sufficient evidence to suppot claim....")</f>
        <v>If P&gt;α, Fail to rejectH0, not sufficient evidence to support</v>
      </c>
      <c r="C20" t="str">
        <f>IF(C16&gt;C5,"If P&gt;α, Fail to rejectH0, not sufficient evidence to support","if P&lt;=α, Reject H0,  There is sufficient evidence to suppot claim....")</f>
        <v>If P&gt;α, Fail to rejectH0, not sufficient evidence to support</v>
      </c>
      <c r="E20">
        <v>1</v>
      </c>
      <c r="F20">
        <v>2</v>
      </c>
      <c r="G20">
        <f t="shared" si="3"/>
        <v>0</v>
      </c>
      <c r="H20" s="12">
        <v>19</v>
      </c>
      <c r="I20" s="12">
        <v>1</v>
      </c>
      <c r="J20" s="12">
        <v>2</v>
      </c>
      <c r="K20" s="12" t="str">
        <f t="shared" si="4"/>
        <v>miss</v>
      </c>
    </row>
    <row r="21" spans="1:11" x14ac:dyDescent="0.35">
      <c r="E21">
        <v>2</v>
      </c>
      <c r="F21">
        <v>1</v>
      </c>
      <c r="G21">
        <f t="shared" si="3"/>
        <v>0</v>
      </c>
      <c r="H21" s="12">
        <v>20</v>
      </c>
      <c r="I21" s="12">
        <v>2</v>
      </c>
      <c r="J21" s="12">
        <v>1</v>
      </c>
      <c r="K21" s="12" t="str">
        <f t="shared" si="4"/>
        <v>miss</v>
      </c>
    </row>
    <row r="22" spans="1:11" x14ac:dyDescent="0.35">
      <c r="E22">
        <v>4</v>
      </c>
      <c r="F22">
        <v>5</v>
      </c>
      <c r="G22">
        <f t="shared" si="3"/>
        <v>0</v>
      </c>
      <c r="H22" s="12">
        <v>21</v>
      </c>
      <c r="I22" s="12">
        <v>4</v>
      </c>
      <c r="J22" s="12">
        <v>5</v>
      </c>
      <c r="K22" s="12" t="str">
        <f t="shared" si="4"/>
        <v>miss</v>
      </c>
    </row>
    <row r="23" spans="1:11" x14ac:dyDescent="0.35">
      <c r="E23">
        <v>3</v>
      </c>
      <c r="F23">
        <v>3</v>
      </c>
      <c r="G23">
        <f t="shared" si="3"/>
        <v>1</v>
      </c>
      <c r="H23" s="12">
        <v>22</v>
      </c>
      <c r="I23" s="12">
        <v>3</v>
      </c>
      <c r="J23" s="12">
        <v>3</v>
      </c>
      <c r="K23" s="12" t="str">
        <f t="shared" si="4"/>
        <v>hit</v>
      </c>
    </row>
    <row r="24" spans="1:11" x14ac:dyDescent="0.35">
      <c r="E24">
        <v>1</v>
      </c>
      <c r="F24">
        <v>2</v>
      </c>
      <c r="G24">
        <f t="shared" si="3"/>
        <v>0</v>
      </c>
      <c r="H24" s="12">
        <v>23</v>
      </c>
      <c r="I24" s="12">
        <v>1</v>
      </c>
      <c r="J24" s="12">
        <v>2</v>
      </c>
      <c r="K24" s="12" t="str">
        <f t="shared" si="4"/>
        <v>miss</v>
      </c>
    </row>
    <row r="25" spans="1:11" x14ac:dyDescent="0.35">
      <c r="E25">
        <v>2</v>
      </c>
      <c r="F25">
        <v>2</v>
      </c>
      <c r="G25">
        <f t="shared" si="3"/>
        <v>1</v>
      </c>
      <c r="H25" s="12">
        <v>24</v>
      </c>
      <c r="I25" s="12">
        <v>2</v>
      </c>
      <c r="J25" s="12">
        <v>2</v>
      </c>
      <c r="K25" s="12" t="str">
        <f t="shared" si="4"/>
        <v>hit</v>
      </c>
    </row>
    <row r="26" spans="1:11" x14ac:dyDescent="0.35">
      <c r="E26">
        <v>2</v>
      </c>
      <c r="F26">
        <v>1</v>
      </c>
      <c r="G26">
        <f t="shared" si="3"/>
        <v>0</v>
      </c>
      <c r="H26" s="12">
        <v>25</v>
      </c>
      <c r="I26" s="12">
        <v>2</v>
      </c>
      <c r="J26" s="12">
        <v>1</v>
      </c>
      <c r="K26" s="12" t="str">
        <f t="shared" si="4"/>
        <v>miss</v>
      </c>
    </row>
    <row r="27" spans="1:11" x14ac:dyDescent="0.35">
      <c r="E27">
        <v>2</v>
      </c>
      <c r="F27">
        <v>2</v>
      </c>
      <c r="G27">
        <f t="shared" si="3"/>
        <v>1</v>
      </c>
      <c r="H27" s="12">
        <v>26</v>
      </c>
      <c r="I27" s="12">
        <v>2</v>
      </c>
      <c r="J27" s="12">
        <v>2</v>
      </c>
      <c r="K27" s="12" t="str">
        <f t="shared" si="4"/>
        <v>hit</v>
      </c>
    </row>
    <row r="28" spans="1:11" x14ac:dyDescent="0.35">
      <c r="E28">
        <v>1</v>
      </c>
      <c r="F28">
        <v>5</v>
      </c>
      <c r="G28">
        <f t="shared" si="3"/>
        <v>0</v>
      </c>
      <c r="H28" s="12">
        <v>27</v>
      </c>
      <c r="I28" s="12">
        <v>1</v>
      </c>
      <c r="J28" s="12">
        <v>5</v>
      </c>
      <c r="K28" s="12" t="str">
        <f t="shared" si="4"/>
        <v>miss</v>
      </c>
    </row>
    <row r="29" spans="1:11" x14ac:dyDescent="0.35">
      <c r="E29">
        <v>2</v>
      </c>
      <c r="F29">
        <v>2</v>
      </c>
      <c r="G29">
        <f t="shared" si="3"/>
        <v>1</v>
      </c>
      <c r="H29" s="12">
        <v>28</v>
      </c>
      <c r="I29" s="12">
        <v>2</v>
      </c>
      <c r="J29" s="12">
        <v>2</v>
      </c>
      <c r="K29" s="12" t="str">
        <f t="shared" si="4"/>
        <v>hit</v>
      </c>
    </row>
    <row r="30" spans="1:11" x14ac:dyDescent="0.35">
      <c r="E30">
        <v>1</v>
      </c>
      <c r="F30">
        <v>5</v>
      </c>
      <c r="G30">
        <f t="shared" si="3"/>
        <v>0</v>
      </c>
      <c r="H30" s="12">
        <v>29</v>
      </c>
      <c r="I30" s="12">
        <v>1</v>
      </c>
      <c r="J30" s="12">
        <v>5</v>
      </c>
      <c r="K30" s="12" t="str">
        <f t="shared" si="4"/>
        <v>miss</v>
      </c>
    </row>
    <row r="31" spans="1:11" x14ac:dyDescent="0.35">
      <c r="E31">
        <v>2</v>
      </c>
      <c r="F31">
        <v>4</v>
      </c>
      <c r="G31">
        <f t="shared" si="3"/>
        <v>0</v>
      </c>
      <c r="H31" s="12">
        <v>30</v>
      </c>
      <c r="I31" s="12">
        <v>2</v>
      </c>
      <c r="J31" s="12">
        <v>4</v>
      </c>
      <c r="K31" s="12" t="str">
        <f t="shared" si="4"/>
        <v>miss</v>
      </c>
    </row>
  </sheetData>
  <pageMargins left="0.7" right="0.7" top="0.75" bottom="0.75" header="0.3" footer="0.3"/>
  <pageSetup orientation="portrait" verticalDpi="300" r:id="rId1"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57FE1-B00A-44E8-BDAE-56AD4521685B}">
  <dimension ref="A1:I40"/>
  <sheetViews>
    <sheetView topLeftCell="C1" workbookViewId="0">
      <selection activeCell="H7" sqref="H7"/>
    </sheetView>
  </sheetViews>
  <sheetFormatPr defaultRowHeight="14.5" x14ac:dyDescent="0.35"/>
  <cols>
    <col min="6" max="6" width="19.36328125" bestFit="1" customWidth="1"/>
    <col min="7" max="7" width="13.26953125" customWidth="1"/>
    <col min="8" max="8" width="11.81640625" bestFit="1" customWidth="1"/>
  </cols>
  <sheetData>
    <row r="1" spans="1:9" ht="16.5" x14ac:dyDescent="0.45">
      <c r="A1" s="12">
        <f ca="1">RANDBETWEEN(0,10)</f>
        <v>1</v>
      </c>
      <c r="B1" s="12"/>
      <c r="C1" s="12">
        <v>9</v>
      </c>
      <c r="D1" s="12">
        <f>AVERAGE(C1:C40)</f>
        <v>5.625</v>
      </c>
      <c r="E1">
        <f ca="1">AVERAGE(A1:A40)</f>
        <v>4.3</v>
      </c>
      <c r="F1" s="45" t="s">
        <v>87</v>
      </c>
      <c r="I1">
        <v>1</v>
      </c>
    </row>
    <row r="2" spans="1:9" x14ac:dyDescent="0.35">
      <c r="A2" s="12">
        <f t="shared" ref="A2:A40" ca="1" si="0">RANDBETWEEN(0,10)</f>
        <v>4</v>
      </c>
      <c r="B2" s="12"/>
      <c r="C2" s="12">
        <v>7</v>
      </c>
      <c r="D2" s="12">
        <f>_xlfn.STDEV.S(C1:C40)</f>
        <v>2.8436839595036685</v>
      </c>
      <c r="E2">
        <f ca="1">_xlfn.STDEV.S(A1:A40)</f>
        <v>3.4803477574547794</v>
      </c>
      <c r="F2" s="45" t="s">
        <v>1</v>
      </c>
      <c r="G2">
        <f t="shared" ref="G2:H2" si="1">1-G1</f>
        <v>1</v>
      </c>
      <c r="H2">
        <f t="shared" si="1"/>
        <v>1</v>
      </c>
      <c r="I2">
        <v>2</v>
      </c>
    </row>
    <row r="3" spans="1:9" x14ac:dyDescent="0.35">
      <c r="A3" s="12">
        <f t="shared" ca="1" si="0"/>
        <v>2</v>
      </c>
      <c r="B3" s="12"/>
      <c r="C3" s="12">
        <v>6</v>
      </c>
      <c r="D3" s="12"/>
      <c r="F3" s="45" t="s">
        <v>88</v>
      </c>
      <c r="G3" s="2">
        <f t="shared" ref="G3:H3" si="2">G8/G10</f>
        <v>0.140625</v>
      </c>
      <c r="H3" s="2">
        <f t="shared" ca="1" si="2"/>
        <v>0.1075</v>
      </c>
      <c r="I3">
        <v>3</v>
      </c>
    </row>
    <row r="4" spans="1:9" x14ac:dyDescent="0.35">
      <c r="A4" s="12">
        <f t="shared" ca="1" si="0"/>
        <v>3</v>
      </c>
      <c r="B4" s="12"/>
      <c r="C4" s="12">
        <v>3</v>
      </c>
      <c r="D4" s="12"/>
      <c r="F4" s="45" t="s">
        <v>89</v>
      </c>
      <c r="G4" s="2">
        <f t="shared" ref="G4:H4" si="3">1-G3</f>
        <v>0.859375</v>
      </c>
      <c r="H4" s="2">
        <f t="shared" ca="1" si="3"/>
        <v>0.89249999999999996</v>
      </c>
      <c r="I4">
        <v>4</v>
      </c>
    </row>
    <row r="5" spans="1:9" ht="16.5" x14ac:dyDescent="0.45">
      <c r="A5" s="12">
        <f t="shared" ca="1" si="0"/>
        <v>1</v>
      </c>
      <c r="B5" s="12"/>
      <c r="C5" s="12">
        <v>1</v>
      </c>
      <c r="D5" s="12"/>
      <c r="F5" s="46" t="s">
        <v>90</v>
      </c>
      <c r="G5" s="48">
        <v>0.01</v>
      </c>
      <c r="H5" s="48">
        <v>0.01</v>
      </c>
      <c r="I5">
        <v>5</v>
      </c>
    </row>
    <row r="6" spans="1:9" ht="16.5" x14ac:dyDescent="0.45">
      <c r="A6" s="12">
        <f t="shared" ca="1" si="0"/>
        <v>4</v>
      </c>
      <c r="B6" s="12"/>
      <c r="C6" s="12">
        <v>3</v>
      </c>
      <c r="D6" s="12"/>
      <c r="F6" s="45" t="s">
        <v>96</v>
      </c>
      <c r="G6">
        <f>D2</f>
        <v>2.8436839595036685</v>
      </c>
      <c r="H6">
        <f ca="1">E2</f>
        <v>3.4803477574547794</v>
      </c>
      <c r="I6">
        <v>5</v>
      </c>
    </row>
    <row r="7" spans="1:9" ht="16.5" x14ac:dyDescent="0.45">
      <c r="A7" s="12">
        <f t="shared" ca="1" si="0"/>
        <v>9</v>
      </c>
      <c r="B7" s="12"/>
      <c r="C7" s="12">
        <v>1</v>
      </c>
      <c r="D7" s="12"/>
      <c r="F7" s="45" t="s">
        <v>97</v>
      </c>
      <c r="I7">
        <v>6</v>
      </c>
    </row>
    <row r="8" spans="1:9" ht="16.5" x14ac:dyDescent="0.45">
      <c r="A8" s="12">
        <f t="shared" ca="1" si="0"/>
        <v>5</v>
      </c>
      <c r="B8" s="12"/>
      <c r="C8" s="12">
        <v>4</v>
      </c>
      <c r="D8" s="12"/>
      <c r="F8" s="46" t="s">
        <v>98</v>
      </c>
      <c r="G8" s="54">
        <f>D1</f>
        <v>5.625</v>
      </c>
      <c r="H8" s="54">
        <f ca="1">E1</f>
        <v>4.3</v>
      </c>
      <c r="I8">
        <v>7</v>
      </c>
    </row>
    <row r="9" spans="1:9" ht="16.5" x14ac:dyDescent="0.45">
      <c r="A9" s="12">
        <f t="shared" ca="1" si="0"/>
        <v>4</v>
      </c>
      <c r="B9" s="12"/>
      <c r="C9" s="12">
        <v>8</v>
      </c>
      <c r="D9" s="12"/>
      <c r="F9" s="45" t="s">
        <v>99</v>
      </c>
      <c r="G9" s="54">
        <v>5</v>
      </c>
      <c r="H9" s="54">
        <v>5</v>
      </c>
      <c r="I9">
        <v>8</v>
      </c>
    </row>
    <row r="10" spans="1:9" x14ac:dyDescent="0.35">
      <c r="A10" s="12">
        <f t="shared" ca="1" si="0"/>
        <v>0</v>
      </c>
      <c r="B10" s="12"/>
      <c r="C10" s="12">
        <v>0</v>
      </c>
      <c r="D10" s="12"/>
      <c r="F10" s="45" t="s">
        <v>91</v>
      </c>
      <c r="G10" s="51">
        <f>COUNT(C1:C41)</f>
        <v>40</v>
      </c>
      <c r="H10" s="51">
        <f>40</f>
        <v>40</v>
      </c>
      <c r="I10">
        <v>9</v>
      </c>
    </row>
    <row r="11" spans="1:9" ht="16.5" x14ac:dyDescent="0.45">
      <c r="A11" s="12">
        <f t="shared" ca="1" si="0"/>
        <v>2</v>
      </c>
      <c r="B11" s="12"/>
      <c r="C11" s="12">
        <v>4</v>
      </c>
      <c r="D11" s="12"/>
      <c r="F11" s="45" t="s">
        <v>102</v>
      </c>
      <c r="G11" s="55">
        <f>_xlfn.NORM.DIST(G8,0,1,TRUE)</f>
        <v>0.99999999072460122</v>
      </c>
      <c r="H11" s="55">
        <f ca="1">_xlfn.NORM.DIST(H8,0,1,TRUE)</f>
        <v>0.99999146009452899</v>
      </c>
      <c r="I11">
        <v>0</v>
      </c>
    </row>
    <row r="12" spans="1:9" ht="16.5" x14ac:dyDescent="0.45">
      <c r="A12" s="12">
        <f t="shared" ca="1" si="0"/>
        <v>9</v>
      </c>
      <c r="B12" s="12"/>
      <c r="C12" s="12">
        <v>3</v>
      </c>
      <c r="D12" s="12"/>
      <c r="F12" s="45" t="s">
        <v>103</v>
      </c>
      <c r="G12" s="55">
        <f>1-_xlfn.NORM.DIST(G8,0,1,TRUE)</f>
        <v>9.2753987823712691E-9</v>
      </c>
      <c r="H12" s="55">
        <f ca="1">1-_xlfn.NORM.DIST(H8,0,1,TRUE)</f>
        <v>8.5399054710055822E-6</v>
      </c>
    </row>
    <row r="13" spans="1:9" ht="16.5" x14ac:dyDescent="0.45">
      <c r="A13" s="12">
        <f t="shared" ca="1" si="0"/>
        <v>9</v>
      </c>
      <c r="B13" s="12"/>
      <c r="C13" s="12">
        <v>7</v>
      </c>
      <c r="D13" s="12"/>
      <c r="F13" s="45" t="s">
        <v>104</v>
      </c>
      <c r="G13" s="3" t="e">
        <f>(G3-G1)/(SQRT((G1*G2)/G10))</f>
        <v>#DIV/0!</v>
      </c>
      <c r="H13" s="3" t="e">
        <f ca="1">(H3-H1)/(SQRT((H1*H2)/H10))</f>
        <v>#DIV/0!</v>
      </c>
    </row>
    <row r="14" spans="1:9" ht="16.5" x14ac:dyDescent="0.45">
      <c r="A14" s="12">
        <f t="shared" ca="1" si="0"/>
        <v>0</v>
      </c>
      <c r="B14" s="12"/>
      <c r="C14" s="12">
        <v>7</v>
      </c>
      <c r="D14" s="12"/>
      <c r="F14" s="45" t="s">
        <v>100</v>
      </c>
      <c r="G14" s="56">
        <f>((G8-G9)/(G6/SQRT(G10)))</f>
        <v>1.390044439361819</v>
      </c>
      <c r="H14" s="56">
        <f ca="1">((H8-H9)/(H6/SQRT(H10)))</f>
        <v>-1.2720535511869049</v>
      </c>
    </row>
    <row r="15" spans="1:9" ht="16.5" x14ac:dyDescent="0.45">
      <c r="A15" s="12">
        <f t="shared" ca="1" si="0"/>
        <v>6</v>
      </c>
      <c r="B15" s="12"/>
      <c r="C15" s="12">
        <v>8</v>
      </c>
      <c r="D15" s="12"/>
      <c r="F15" s="45" t="s">
        <v>101</v>
      </c>
      <c r="G15" s="2" t="e">
        <f>(G8-G9)/(G7/SQRT(G10))</f>
        <v>#DIV/0!</v>
      </c>
      <c r="H15" s="2" t="e">
        <f ca="1">(H8-H9)/(H7/SQRT(H10))</f>
        <v>#DIV/0!</v>
      </c>
    </row>
    <row r="16" spans="1:9" x14ac:dyDescent="0.35">
      <c r="A16" s="12">
        <f t="shared" ca="1" si="0"/>
        <v>2</v>
      </c>
      <c r="B16" s="12"/>
      <c r="C16" s="12">
        <v>7</v>
      </c>
      <c r="D16" s="12"/>
      <c r="F16" s="69" t="s">
        <v>92</v>
      </c>
      <c r="G16" s="68">
        <f t="shared" ref="G16:H16" si="4">IF(G1&gt;0,IF(G10&gt;0,IF(G13&gt;0,1-_xlfn.NORM.DIST(G13,0,1,1),_xlfn.NORM.DIST(G13,0,1,1)),IF(G8&gt;0,1-_xlfn.NORM.DIST(G8,0,1,1),_xlfn.NORM.DIST(G8,0,1,1))),IF(G14&gt;0,1-_xlfn.T.DIST(G14,G10-1,1),_xlfn.T.DIST(G14,G10-1,1)))</f>
        <v>8.6199430201762683E-2</v>
      </c>
      <c r="H16" s="68">
        <f t="shared" ca="1" si="4"/>
        <v>0.10544346507438147</v>
      </c>
    </row>
    <row r="17" spans="1:8" x14ac:dyDescent="0.35">
      <c r="A17" s="12">
        <f t="shared" ca="1" si="0"/>
        <v>1</v>
      </c>
      <c r="B17" s="12"/>
      <c r="C17" s="12">
        <v>6</v>
      </c>
      <c r="D17" s="12"/>
      <c r="F17" s="45" t="s">
        <v>93</v>
      </c>
      <c r="G17" s="47" t="str">
        <f>IF(G16&gt;G5,"P&gt;a,Fail to reject H0, not sufficient","P&lt;a, null must go, sufficient")</f>
        <v>P&gt;a,Fail to reject H0, not sufficient</v>
      </c>
      <c r="H17" s="47" t="str">
        <f ca="1">IF(H16&gt;H5,"P&gt;a,Fail to reject H0, not sufficient","P&lt;a, null must go, sufficient")</f>
        <v>P&gt;a,Fail to reject H0, not sufficient</v>
      </c>
    </row>
    <row r="18" spans="1:8" ht="16.5" x14ac:dyDescent="0.45">
      <c r="A18" s="12">
        <f t="shared" ca="1" si="0"/>
        <v>1</v>
      </c>
      <c r="B18" s="12"/>
      <c r="C18" s="12">
        <v>4</v>
      </c>
      <c r="D18" s="12"/>
      <c r="F18" s="66" t="s">
        <v>106</v>
      </c>
      <c r="G18" s="67">
        <f>IF(G1&gt;0,IF(ISBLANK(G9),IF(ISBLANK(G10),IF(G$8&gt;0,(1-_xlfn.NORM.DIST(G$8,0,1,1))*2,(_xlfn.NORM.DIST(G$8,0,1,1))*2),IF(G13&gt;0,(1-_xlfn.NORM.DIST(G13,0,1,1))*2,(_xlfn.NORM.DIST(G13,0,1,1))*2)),IF(G8&gt;0,(1-_xlfn.NORM.DIST(G8,0,1,1))*2,(_xlfn.NORM.DIST(G8,0,1,1))*2)),IF(G14&gt;0,(1-_xlfn.T.DIST(G14,G10-1,1))*2,(_xlfn.T.DIST(G14,G10-1,1))*2))</f>
        <v>0.17239886040352537</v>
      </c>
      <c r="H18" s="67">
        <f ca="1">IF(H1&gt;0,IF(ISBLANK(H9),IF(ISBLANK(H10),IF(H$8&gt;0,(1-_xlfn.NORM.DIST(H$8,0,1,1))*2,(_xlfn.NORM.DIST(H$8,0,1,1))*2),IF(H13&gt;0,(1-_xlfn.NORM.DIST(H13,0,1,1))*2,(_xlfn.NORM.DIST(H13,0,1,1))*2)),IF(H8&gt;0,(1-_xlfn.NORM.DIST(H8,0,1,1))*2,(_xlfn.NORM.DIST(H8,0,1,1))*2)),IF(H14&gt;0,(1-_xlfn.T.DIST(H14,H10-1,1))*2,(_xlfn.T.DIST(H14,H10-1,1))*2))</f>
        <v>0.21088693014876295</v>
      </c>
    </row>
    <row r="19" spans="1:8" x14ac:dyDescent="0.35">
      <c r="A19" s="12">
        <f t="shared" ca="1" si="0"/>
        <v>10</v>
      </c>
      <c r="B19" s="12"/>
      <c r="C19" s="12">
        <v>1</v>
      </c>
      <c r="D19" s="12"/>
      <c r="F19" s="45" t="s">
        <v>95</v>
      </c>
      <c r="G19" s="47" t="str" cm="1">
        <f t="array" ref="G19">IF(G18=0,IF(P&gt;a,"Fail to reject H0, not sufficient","B18&lt;B5,P&lt;a,Null must go, sufficient"),IF(G18&gt;G5,"P&gt;a,Fail to reject H0, sufficient","p&lt;a,null must go, sufficient"))</f>
        <v>P&gt;a,Fail to reject H0, sufficient</v>
      </c>
      <c r="H19" s="47" t="str" cm="1">
        <f t="array" aca="1" ref="H19" ca="1">IF(H18=0,IF(P&gt;a,"Fail to reject H0, not sufficient","B18&lt;B5,P&lt;a,Null must go, sufficient"),IF(H18&gt;H5,"P&gt;a,Fail to reject H0, sufficient","p&lt;a,null must go, sufficient"))</f>
        <v>P&gt;a,Fail to reject H0, sufficient</v>
      </c>
    </row>
    <row r="20" spans="1:8" x14ac:dyDescent="0.35">
      <c r="A20" s="12">
        <f t="shared" ca="1" si="0"/>
        <v>5</v>
      </c>
      <c r="B20" s="12"/>
      <c r="C20" s="12">
        <v>8</v>
      </c>
      <c r="D20" s="12"/>
      <c r="F20" s="45" t="s">
        <v>94</v>
      </c>
      <c r="G20" t="str">
        <f>IF(G16&gt;G5,"If P&gt;α, Fail to rejectH0, not sufficient evidence to support","if P&lt;=α, Reject H0,  There is sufficient evidence to suppot claim....")</f>
        <v>If P&gt;α, Fail to rejectH0, not sufficient evidence to support</v>
      </c>
      <c r="H20" t="str">
        <f ca="1">IF(H16&gt;H5,"If P&gt;α, Fail to rejectH0, not sufficient evidence to support","if P&lt;=α, Reject H0,  There is sufficient evidence to suppot claim....")</f>
        <v>If P&gt;α, Fail to rejectH0, not sufficient evidence to support</v>
      </c>
    </row>
    <row r="21" spans="1:8" x14ac:dyDescent="0.35">
      <c r="A21" s="12">
        <f t="shared" ca="1" si="0"/>
        <v>3</v>
      </c>
      <c r="B21" s="12"/>
      <c r="C21" s="12">
        <v>8</v>
      </c>
      <c r="D21" s="12"/>
    </row>
    <row r="22" spans="1:8" x14ac:dyDescent="0.35">
      <c r="A22" s="12">
        <f t="shared" ca="1" si="0"/>
        <v>3</v>
      </c>
      <c r="B22" s="12"/>
      <c r="C22" s="12">
        <v>6</v>
      </c>
      <c r="D22" s="12"/>
    </row>
    <row r="23" spans="1:8" x14ac:dyDescent="0.35">
      <c r="A23" s="12">
        <f t="shared" ca="1" si="0"/>
        <v>5</v>
      </c>
      <c r="B23" s="12"/>
      <c r="C23" s="12">
        <v>10</v>
      </c>
      <c r="D23" s="12"/>
    </row>
    <row r="24" spans="1:8" x14ac:dyDescent="0.35">
      <c r="A24" s="12">
        <f t="shared" ca="1" si="0"/>
        <v>6</v>
      </c>
      <c r="B24" s="12"/>
      <c r="C24" s="12">
        <v>10</v>
      </c>
      <c r="D24" s="12"/>
    </row>
    <row r="25" spans="1:8" x14ac:dyDescent="0.35">
      <c r="A25" s="12">
        <f t="shared" ca="1" si="0"/>
        <v>9</v>
      </c>
      <c r="B25" s="12"/>
      <c r="C25" s="12">
        <v>4</v>
      </c>
      <c r="D25" s="12"/>
    </row>
    <row r="26" spans="1:8" x14ac:dyDescent="0.35">
      <c r="A26" s="12">
        <f t="shared" ca="1" si="0"/>
        <v>0</v>
      </c>
      <c r="B26" s="12"/>
      <c r="C26" s="12">
        <v>6</v>
      </c>
      <c r="D26" s="12"/>
    </row>
    <row r="27" spans="1:8" x14ac:dyDescent="0.35">
      <c r="A27" s="12">
        <f t="shared" ca="1" si="0"/>
        <v>4</v>
      </c>
      <c r="B27" s="12"/>
      <c r="C27" s="12">
        <v>0</v>
      </c>
      <c r="D27" s="12"/>
    </row>
    <row r="28" spans="1:8" x14ac:dyDescent="0.35">
      <c r="A28" s="12">
        <f t="shared" ca="1" si="0"/>
        <v>1</v>
      </c>
      <c r="B28" s="12"/>
      <c r="C28" s="12">
        <v>8</v>
      </c>
      <c r="D28" s="12"/>
    </row>
    <row r="29" spans="1:8" x14ac:dyDescent="0.35">
      <c r="A29" s="12">
        <f t="shared" ca="1" si="0"/>
        <v>0</v>
      </c>
      <c r="B29" s="12"/>
      <c r="C29" s="12">
        <v>5</v>
      </c>
      <c r="D29" s="12"/>
    </row>
    <row r="30" spans="1:8" x14ac:dyDescent="0.35">
      <c r="A30" s="12">
        <f t="shared" ca="1" si="0"/>
        <v>0</v>
      </c>
      <c r="B30" s="12"/>
      <c r="C30" s="12">
        <v>2</v>
      </c>
      <c r="D30" s="12"/>
    </row>
    <row r="31" spans="1:8" x14ac:dyDescent="0.35">
      <c r="A31" s="12">
        <f t="shared" ca="1" si="0"/>
        <v>1</v>
      </c>
      <c r="B31" s="12"/>
      <c r="C31" s="12">
        <v>4</v>
      </c>
      <c r="D31" s="12"/>
    </row>
    <row r="32" spans="1:8" x14ac:dyDescent="0.35">
      <c r="A32" s="12">
        <f t="shared" ca="1" si="0"/>
        <v>10</v>
      </c>
      <c r="B32" s="12"/>
      <c r="C32" s="12">
        <v>9</v>
      </c>
      <c r="D32" s="12"/>
    </row>
    <row r="33" spans="1:4" x14ac:dyDescent="0.35">
      <c r="A33" s="12">
        <f t="shared" ca="1" si="0"/>
        <v>9</v>
      </c>
      <c r="B33" s="12"/>
      <c r="C33" s="12">
        <v>5</v>
      </c>
      <c r="D33" s="12"/>
    </row>
    <row r="34" spans="1:4" x14ac:dyDescent="0.35">
      <c r="A34" s="12">
        <f t="shared" ca="1" si="0"/>
        <v>4</v>
      </c>
      <c r="B34" s="12"/>
      <c r="C34" s="12">
        <v>8</v>
      </c>
      <c r="D34" s="12"/>
    </row>
    <row r="35" spans="1:4" x14ac:dyDescent="0.35">
      <c r="A35" s="12">
        <f t="shared" ca="1" si="0"/>
        <v>9</v>
      </c>
      <c r="B35" s="12"/>
      <c r="C35" s="12">
        <v>6</v>
      </c>
      <c r="D35" s="12"/>
    </row>
    <row r="36" spans="1:4" x14ac:dyDescent="0.35">
      <c r="A36" s="12">
        <f t="shared" ca="1" si="0"/>
        <v>2</v>
      </c>
      <c r="B36" s="12"/>
      <c r="C36" s="12">
        <v>9</v>
      </c>
      <c r="D36" s="12"/>
    </row>
    <row r="37" spans="1:4" x14ac:dyDescent="0.35">
      <c r="A37" s="12">
        <f t="shared" ca="1" si="0"/>
        <v>10</v>
      </c>
      <c r="B37" s="12"/>
      <c r="C37" s="12">
        <v>4</v>
      </c>
      <c r="D37" s="12"/>
    </row>
    <row r="38" spans="1:4" x14ac:dyDescent="0.35">
      <c r="A38" s="12">
        <f t="shared" ca="1" si="0"/>
        <v>7</v>
      </c>
      <c r="B38" s="12"/>
      <c r="C38" s="12">
        <v>9</v>
      </c>
      <c r="D38" s="12"/>
    </row>
    <row r="39" spans="1:4" x14ac:dyDescent="0.35">
      <c r="A39" s="12">
        <f t="shared" ca="1" si="0"/>
        <v>1</v>
      </c>
      <c r="B39" s="12"/>
      <c r="C39" s="12">
        <v>9</v>
      </c>
      <c r="D39" s="12"/>
    </row>
    <row r="40" spans="1:4" x14ac:dyDescent="0.35">
      <c r="A40" s="12">
        <f t="shared" ca="1" si="0"/>
        <v>10</v>
      </c>
      <c r="B40" s="12"/>
      <c r="C40" s="12">
        <v>6</v>
      </c>
      <c r="D40" s="1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#of classes&amp;bin width</vt:lpstr>
      <vt:lpstr>Unit 2 template</vt:lpstr>
      <vt:lpstr>Final</vt:lpstr>
      <vt:lpstr>Unit 3 master sheet</vt:lpstr>
      <vt:lpstr>Hypothesis testing</vt:lpstr>
      <vt:lpstr>hypothesis test and 2 samples</vt:lpstr>
      <vt:lpstr>Sheet1</vt:lpstr>
      <vt:lpstr>inference from 2 samples</vt:lpstr>
      <vt:lpstr>Unit 3 master sheet Beta</vt:lpstr>
      <vt:lpstr>Quiz Ch8_9</vt:lpstr>
      <vt:lpstr>crit Val Corr</vt:lpstr>
      <vt:lpstr>Ch 10 quiz</vt:lpstr>
      <vt:lpstr>Hw 10.1 </vt:lpstr>
      <vt:lpstr>Sheet13</vt:lpstr>
      <vt:lpstr>Hw 10.2 </vt:lpstr>
      <vt:lpstr>GPA</vt:lpstr>
      <vt:lpstr>CH2 Histogram</vt:lpstr>
      <vt:lpstr>Quiz Ch5</vt:lpstr>
      <vt:lpstr>Ch 6</vt:lpstr>
      <vt:lpstr>Boards w_o Defects</vt:lpstr>
      <vt:lpstr>Binom .dist.range prac.</vt:lpstr>
      <vt:lpstr>180 trials of boards</vt:lpstr>
      <vt:lpstr>p(x)~xp(x)~</vt:lpstr>
      <vt:lpstr>psychic test</vt:lpstr>
      <vt:lpstr>random number generator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WolfPack</dc:creator>
  <cp:lastModifiedBy>WolfPack</cp:lastModifiedBy>
  <dcterms:created xsi:type="dcterms:W3CDTF">2021-03-26T16:36:19Z</dcterms:created>
  <dcterms:modified xsi:type="dcterms:W3CDTF">2021-05-13T16:59:12Z</dcterms:modified>
</cp:coreProperties>
</file>