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1\Desktop\SWEng\Finance\Financial Reports\Final Financial Report\"/>
    </mc:Choice>
  </mc:AlternateContent>
  <xr:revisionPtr revIDLastSave="0" documentId="13_ncr:1_{8EC2A7B4-9737-4E4E-8561-DAC3DA53089B}" xr6:coauthVersionLast="33" xr6:coauthVersionMax="33" xr10:uidLastSave="{00000000-0000-0000-0000-000000000000}"/>
  <bookViews>
    <workbookView minimized="1" xWindow="0" yWindow="0" windowWidth="24000" windowHeight="9510" xr2:uid="{F371D239-107E-4CBB-8BC5-E68FB821EDD7}"/>
  </bookViews>
  <sheets>
    <sheet name="Actual Vs Forecast" sheetId="1" r:id="rId1"/>
    <sheet name="Development Phase % Difference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4" i="1" l="1"/>
  <c r="AQ23" i="1"/>
  <c r="AQ22" i="1"/>
  <c r="AQ21" i="1"/>
  <c r="AQ20" i="1"/>
  <c r="AQ19" i="1"/>
  <c r="AQ18" i="1"/>
  <c r="AQ5" i="1"/>
  <c r="AQ4" i="1"/>
  <c r="AO24" i="1" l="1"/>
  <c r="AO23" i="1"/>
  <c r="AO22" i="1"/>
  <c r="AO21" i="1"/>
  <c r="AO20" i="1"/>
  <c r="AO19" i="1"/>
  <c r="AO18" i="1"/>
  <c r="AO17" i="1"/>
  <c r="C11" i="3"/>
  <c r="C8" i="3"/>
  <c r="C4" i="3"/>
  <c r="AR25" i="1"/>
  <c r="AQ17" i="1"/>
  <c r="AR24" i="1"/>
  <c r="AR23" i="1"/>
  <c r="AR22" i="1"/>
  <c r="AR21" i="1"/>
  <c r="AR20" i="1"/>
  <c r="AR19" i="1"/>
  <c r="AR18" i="1"/>
  <c r="AR17" i="1"/>
  <c r="AR5" i="1"/>
  <c r="AR6" i="1"/>
  <c r="AR7" i="1"/>
  <c r="AR8" i="1"/>
  <c r="AR9" i="1"/>
  <c r="AR10" i="1"/>
  <c r="AR11" i="1"/>
  <c r="AR12" i="1"/>
  <c r="AR4" i="1"/>
  <c r="C5" i="3"/>
  <c r="AQ6" i="1"/>
  <c r="C6" i="3" s="1"/>
  <c r="AQ7" i="1"/>
  <c r="C7" i="3" s="1"/>
  <c r="AQ8" i="1"/>
  <c r="AQ9" i="1"/>
  <c r="C9" i="3" s="1"/>
  <c r="AQ10" i="1"/>
  <c r="C10" i="3" s="1"/>
  <c r="AQ11" i="1"/>
  <c r="AQ25" i="1" l="1"/>
  <c r="AR26" i="1" s="1"/>
  <c r="AP24" i="1"/>
  <c r="AP23" i="1"/>
  <c r="AP22" i="1"/>
  <c r="AP21" i="1"/>
  <c r="AP20" i="1"/>
  <c r="AP19" i="1"/>
  <c r="AP18" i="1"/>
  <c r="AP17" i="1"/>
  <c r="AN24" i="1"/>
  <c r="AN23" i="1"/>
  <c r="AN22" i="1"/>
  <c r="AN21" i="1"/>
  <c r="AN20" i="1"/>
  <c r="AN19" i="1"/>
  <c r="AN18" i="1"/>
  <c r="AN17" i="1"/>
  <c r="AM24" i="1"/>
  <c r="AM23" i="1"/>
  <c r="AM22" i="1"/>
  <c r="AM21" i="1"/>
  <c r="AM20" i="1"/>
  <c r="AM19" i="1"/>
  <c r="AM18" i="1"/>
  <c r="AM17" i="1"/>
  <c r="AL24" i="1"/>
  <c r="AJ23" i="1"/>
  <c r="AL23" i="1"/>
  <c r="AL22" i="1"/>
  <c r="AL21" i="1"/>
  <c r="AL20" i="1"/>
  <c r="AL19" i="1"/>
  <c r="AL18" i="1"/>
  <c r="AL17" i="1"/>
  <c r="AK24" i="1"/>
  <c r="AK23" i="1"/>
  <c r="AK22" i="1"/>
  <c r="AK21" i="1"/>
  <c r="AK20" i="1"/>
  <c r="AK19" i="1"/>
  <c r="AK18" i="1"/>
  <c r="AK17" i="1"/>
  <c r="AM12" i="1"/>
  <c r="AP12" i="1"/>
  <c r="AO12" i="1"/>
  <c r="AQ12" i="1" s="1"/>
  <c r="AL12" i="1"/>
  <c r="AN12" i="1"/>
  <c r="AN13" i="1" s="1"/>
  <c r="AK12" i="1"/>
  <c r="AP13" i="1" l="1"/>
  <c r="AR13" i="1"/>
  <c r="C12" i="3"/>
  <c r="AM25" i="1"/>
  <c r="AO25" i="1"/>
  <c r="AP25" i="1"/>
  <c r="AN25" i="1"/>
  <c r="AN26" i="1" s="1"/>
  <c r="AL25" i="1"/>
  <c r="AK25" i="1"/>
  <c r="AL26" i="1" s="1"/>
  <c r="AL13" i="1"/>
  <c r="AJ24" i="1"/>
  <c r="AJ22" i="1"/>
  <c r="AJ21" i="1"/>
  <c r="AJ20" i="1"/>
  <c r="AJ19" i="1"/>
  <c r="AJ18" i="1"/>
  <c r="AJ17" i="1"/>
  <c r="AJ12" i="1"/>
  <c r="AP26" i="1" l="1"/>
  <c r="AI24" i="1"/>
  <c r="AI23" i="1"/>
  <c r="AI22" i="1"/>
  <c r="AI21" i="1"/>
  <c r="AI20" i="1"/>
  <c r="AI19" i="1"/>
  <c r="AI18" i="1"/>
  <c r="AI17" i="1"/>
  <c r="AG24" i="1"/>
  <c r="AG23" i="1"/>
  <c r="AG22" i="1"/>
  <c r="AG21" i="1"/>
  <c r="AG20" i="1"/>
  <c r="AG19" i="1"/>
  <c r="AG18" i="1"/>
  <c r="AG17" i="1"/>
  <c r="AG25" i="1" s="1"/>
  <c r="AJ25" i="1"/>
  <c r="AH24" i="1"/>
  <c r="AH23" i="1"/>
  <c r="AH22" i="1"/>
  <c r="AH21" i="1"/>
  <c r="AH20" i="1"/>
  <c r="AH19" i="1"/>
  <c r="AH18" i="1"/>
  <c r="AH17" i="1"/>
  <c r="AH12" i="1"/>
  <c r="AI12" i="1"/>
  <c r="AG12" i="1"/>
  <c r="AH13" i="1" s="1"/>
  <c r="AH25" i="1" l="1"/>
  <c r="AJ13" i="1"/>
  <c r="AI25" i="1"/>
  <c r="AJ26" i="1" s="1"/>
  <c r="AH26" i="1"/>
  <c r="S17" i="1"/>
  <c r="AE24" i="1" l="1"/>
  <c r="AE23" i="1"/>
  <c r="AE22" i="1"/>
  <c r="AE21" i="1"/>
  <c r="AE19" i="1"/>
  <c r="AE18" i="1"/>
  <c r="AE17" i="1"/>
  <c r="AC24" i="1"/>
  <c r="Y23" i="1"/>
  <c r="S21" i="1"/>
  <c r="S19" i="1"/>
  <c r="AF24" i="1"/>
  <c r="AF23" i="1"/>
  <c r="AF22" i="1"/>
  <c r="AF21" i="1"/>
  <c r="AF20" i="1"/>
  <c r="AF19" i="1"/>
  <c r="AF18" i="1"/>
  <c r="AF17" i="1"/>
  <c r="AE20" i="1"/>
  <c r="AF12" i="1"/>
  <c r="AE12" i="1"/>
  <c r="AF25" i="1" l="1"/>
  <c r="AF13" i="1"/>
  <c r="AE25" i="1"/>
  <c r="AF26" i="1" s="1"/>
  <c r="AC23" i="1"/>
  <c r="AC22" i="1"/>
  <c r="AC21" i="1"/>
  <c r="AC20" i="1"/>
  <c r="AC19" i="1"/>
  <c r="AC18" i="1"/>
  <c r="AC17" i="1"/>
  <c r="AD22" i="1"/>
  <c r="AB22" i="1"/>
  <c r="AB17" i="1"/>
  <c r="AA22" i="1"/>
  <c r="Y19" i="1"/>
  <c r="Y22" i="1"/>
  <c r="Z22" i="1"/>
  <c r="X22" i="1"/>
  <c r="W23" i="1"/>
  <c r="W22" i="1"/>
  <c r="V24" i="1"/>
  <c r="V23" i="1"/>
  <c r="V22" i="1"/>
  <c r="V21" i="1"/>
  <c r="V20" i="1"/>
  <c r="V19" i="1"/>
  <c r="V18" i="1"/>
  <c r="V17" i="1"/>
  <c r="U24" i="1"/>
  <c r="U23" i="1"/>
  <c r="U22" i="1"/>
  <c r="T24" i="1"/>
  <c r="T23" i="1"/>
  <c r="T22" i="1"/>
  <c r="T21" i="1"/>
  <c r="T20" i="1"/>
  <c r="T19" i="1"/>
  <c r="T18" i="1"/>
  <c r="T17" i="1"/>
  <c r="R24" i="1"/>
  <c r="R23" i="1"/>
  <c r="R22" i="1"/>
  <c r="R21" i="1"/>
  <c r="R20" i="1"/>
  <c r="R19" i="1"/>
  <c r="R18" i="1"/>
  <c r="R17" i="1"/>
  <c r="S24" i="1"/>
  <c r="S23" i="1"/>
  <c r="S22" i="1"/>
  <c r="Q17" i="1"/>
  <c r="S20" i="1"/>
  <c r="S18" i="1"/>
  <c r="Q18" i="1"/>
  <c r="Q19" i="1"/>
  <c r="Q20" i="1"/>
  <c r="Q21" i="1"/>
  <c r="Q22" i="1"/>
  <c r="Q23" i="1"/>
  <c r="Q24" i="1"/>
  <c r="AD24" i="1"/>
  <c r="AD23" i="1"/>
  <c r="AD21" i="1"/>
  <c r="AD20" i="1"/>
  <c r="AD18" i="1"/>
  <c r="AD17" i="1"/>
  <c r="AD19" i="1"/>
  <c r="AD12" i="1"/>
  <c r="AC12" i="1"/>
  <c r="AD25" i="1" l="1"/>
  <c r="AD13" i="1"/>
  <c r="AC25" i="1"/>
  <c r="AD26" i="1" s="1"/>
  <c r="S25" i="1"/>
  <c r="Y15" i="1"/>
  <c r="W15" i="1"/>
  <c r="U15" i="1"/>
  <c r="Q15" i="1"/>
  <c r="O15" i="1"/>
  <c r="M15" i="1"/>
  <c r="I15" i="1"/>
  <c r="G15" i="1"/>
  <c r="E15" i="1"/>
  <c r="E2" i="1"/>
  <c r="G2" i="1" s="1"/>
  <c r="I2" i="1" s="1"/>
  <c r="K2" i="1" s="1"/>
  <c r="M2" i="1" s="1"/>
  <c r="O2" i="1" s="1"/>
  <c r="Q2" i="1" s="1"/>
  <c r="S2" i="1" s="1"/>
  <c r="U2" i="1" s="1"/>
  <c r="W2" i="1" s="1"/>
  <c r="Y2" i="1" s="1"/>
  <c r="AA2" i="1" s="1"/>
  <c r="AB24" i="1"/>
  <c r="Z24" i="1"/>
  <c r="X24" i="1"/>
  <c r="AA23" i="1"/>
  <c r="AB23" i="1"/>
  <c r="Z23" i="1"/>
  <c r="X23" i="1"/>
  <c r="AA21" i="1"/>
  <c r="AB21" i="1"/>
  <c r="Y21" i="1"/>
  <c r="Z21" i="1"/>
  <c r="W21" i="1"/>
  <c r="X21" i="1"/>
  <c r="U21" i="1"/>
  <c r="U25" i="1" s="1"/>
  <c r="Q25" i="1"/>
  <c r="AA20" i="1"/>
  <c r="AB20" i="1"/>
  <c r="Y20" i="1"/>
  <c r="Z20" i="1"/>
  <c r="X20" i="1"/>
  <c r="AA19" i="1"/>
  <c r="AB19" i="1"/>
  <c r="Z19" i="1"/>
  <c r="X19" i="1"/>
  <c r="AA18" i="1"/>
  <c r="AB18" i="1"/>
  <c r="Y18" i="1"/>
  <c r="Z18" i="1"/>
  <c r="X18" i="1"/>
  <c r="AA17" i="1"/>
  <c r="Z17" i="1"/>
  <c r="W17" i="1"/>
  <c r="X17" i="1"/>
  <c r="AB12" i="1"/>
  <c r="Z12" i="1"/>
  <c r="X12" i="1"/>
  <c r="V12" i="1"/>
  <c r="T12" i="1"/>
  <c r="R12" i="1"/>
  <c r="AA12" i="1"/>
  <c r="Y12" i="1"/>
  <c r="W12" i="1"/>
  <c r="U12" i="1"/>
  <c r="S12" i="1"/>
  <c r="Q12" i="1"/>
  <c r="X13" i="1" l="1"/>
  <c r="AC2" i="1"/>
  <c r="AC15" i="1"/>
  <c r="K15" i="1"/>
  <c r="S15" i="1"/>
  <c r="AA15" i="1"/>
  <c r="V13" i="1"/>
  <c r="R13" i="1"/>
  <c r="Z13" i="1"/>
  <c r="R25" i="1"/>
  <c r="R26" i="1" s="1"/>
  <c r="V25" i="1"/>
  <c r="V26" i="1" s="1"/>
  <c r="AB25" i="1"/>
  <c r="Z25" i="1"/>
  <c r="X25" i="1"/>
  <c r="T13" i="1"/>
  <c r="AB13" i="1"/>
  <c r="T25" i="1"/>
  <c r="T26" i="1" s="1"/>
  <c r="Y25" i="1"/>
  <c r="W25" i="1"/>
  <c r="X26" i="1" s="1"/>
  <c r="AA25" i="1"/>
  <c r="AB26" i="1" s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18" i="1"/>
  <c r="C19" i="1"/>
  <c r="C20" i="1"/>
  <c r="C21" i="1"/>
  <c r="C22" i="1"/>
  <c r="C23" i="1"/>
  <c r="C24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7" i="1"/>
  <c r="D12" i="1"/>
  <c r="F12" i="1"/>
  <c r="H12" i="1"/>
  <c r="J12" i="1"/>
  <c r="L12" i="1"/>
  <c r="M12" i="1"/>
  <c r="N12" i="1"/>
  <c r="O12" i="1"/>
  <c r="P12" i="1"/>
  <c r="AE15" i="1" l="1"/>
  <c r="AE2" i="1"/>
  <c r="Z26" i="1"/>
  <c r="M25" i="1"/>
  <c r="I25" i="1"/>
  <c r="E25" i="1"/>
  <c r="O25" i="1"/>
  <c r="K25" i="1"/>
  <c r="G25" i="1"/>
  <c r="N25" i="1"/>
  <c r="J25" i="1"/>
  <c r="F25" i="1"/>
  <c r="P25" i="1"/>
  <c r="L25" i="1"/>
  <c r="H25" i="1"/>
  <c r="D25" i="1"/>
  <c r="AG15" i="1" l="1"/>
  <c r="AG2" i="1"/>
  <c r="N13" i="1"/>
  <c r="C25" i="1"/>
  <c r="P26" i="1"/>
  <c r="P13" i="1"/>
  <c r="AI2" i="1" l="1"/>
  <c r="AI15" i="1"/>
  <c r="D13" i="1"/>
  <c r="H13" i="1"/>
  <c r="L13" i="1"/>
  <c r="J26" i="1"/>
  <c r="H26" i="1"/>
  <c r="D26" i="1"/>
  <c r="F26" i="1"/>
  <c r="N26" i="1"/>
  <c r="L26" i="1"/>
  <c r="F13" i="1"/>
  <c r="J13" i="1"/>
  <c r="AK2" i="1" l="1"/>
  <c r="AK15" i="1"/>
  <c r="AM2" i="1" l="1"/>
  <c r="AM15" i="1"/>
  <c r="AO15" i="1" l="1"/>
  <c r="AO2" i="1"/>
</calcChain>
</file>

<file path=xl/sharedStrings.xml><?xml version="1.0" encoding="utf-8"?>
<sst xmlns="http://schemas.openxmlformats.org/spreadsheetml/2006/main" count="119" uniqueCount="18">
  <si>
    <t>Role</t>
  </si>
  <si>
    <t>Forecast Hours</t>
  </si>
  <si>
    <t>Actual Hours</t>
  </si>
  <si>
    <t>Total</t>
  </si>
  <si>
    <t>Actual Wages</t>
  </si>
  <si>
    <t>Forecast Wages</t>
  </si>
  <si>
    <t>Percentage Difference (%)</t>
  </si>
  <si>
    <t>Marco</t>
  </si>
  <si>
    <t>Alex F</t>
  </si>
  <si>
    <t>Jack</t>
  </si>
  <si>
    <t>Jeremy</t>
  </si>
  <si>
    <t>Miranda</t>
  </si>
  <si>
    <t>Alex B</t>
  </si>
  <si>
    <t>Kevin</t>
  </si>
  <si>
    <t>St.John</t>
  </si>
  <si>
    <t>Total Over Development Phase</t>
  </si>
  <si>
    <t>Percentage Difference Over Development Phase (Per Person and Group Total)</t>
  </si>
  <si>
    <t>Group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</si>
</sst>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dd/mm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4" fontId="1" fillId="0" borderId="7" xfId="0" applyNumberFormat="1" applyFont="1" applyBorder="1" applyAlignment="1">
      <alignment horizontal="center" vertical="center"/>
    </xf>
    <xf numFmtId="4" fontId="1" fillId="2" borderId="3" xfId="0" applyNumberFormat="1" applyFont="1" applyFill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4" fontId="1" fillId="0" borderId="3" xfId="0" applyNumberFormat="1" applyFont="1" applyFill="1" applyBorder="1" applyAlignment="1">
      <alignment horizontal="center" vertical="center"/>
    </xf>
    <xf numFmtId="4" fontId="1" fillId="2" borderId="23" xfId="0" applyNumberFormat="1" applyFont="1" applyFill="1" applyBorder="1" applyAlignment="1">
      <alignment horizontal="center" vertical="center"/>
    </xf>
    <xf numFmtId="4" fontId="1" fillId="0" borderId="28" xfId="0" applyNumberFormat="1" applyFont="1" applyBorder="1" applyAlignment="1">
      <alignment horizontal="center" vertical="center"/>
    </xf>
    <xf numFmtId="4" fontId="2" fillId="0" borderId="28" xfId="0" applyNumberFormat="1" applyFont="1" applyBorder="1" applyAlignment="1">
      <alignment horizontal="center" vertical="center"/>
    </xf>
    <xf numFmtId="4" fontId="2" fillId="2" borderId="23" xfId="0" applyNumberFormat="1" applyFont="1" applyFill="1" applyBorder="1" applyAlignment="1">
      <alignment horizontal="center" vertical="center"/>
    </xf>
    <xf numFmtId="4" fontId="1" fillId="0" borderId="9" xfId="0" applyNumberFormat="1" applyFont="1" applyBorder="1" applyAlignment="1">
      <alignment horizontal="center" vertical="center"/>
    </xf>
    <xf numFmtId="4" fontId="1" fillId="2" borderId="5" xfId="0" applyNumberFormat="1" applyFont="1" applyFill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4" fontId="1" fillId="0" borderId="5" xfId="0" applyNumberFormat="1" applyFont="1" applyFill="1" applyBorder="1" applyAlignment="1">
      <alignment horizontal="center" vertical="center"/>
    </xf>
    <xf numFmtId="4" fontId="1" fillId="2" borderId="24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1" fillId="0" borderId="29" xfId="0" applyNumberFormat="1" applyFont="1" applyBorder="1" applyAlignment="1">
      <alignment horizontal="center" vertical="center"/>
    </xf>
    <xf numFmtId="4" fontId="2" fillId="0" borderId="29" xfId="0" applyNumberFormat="1" applyFont="1" applyBorder="1" applyAlignment="1">
      <alignment horizontal="center" vertical="center"/>
    </xf>
    <xf numFmtId="4" fontId="2" fillId="2" borderId="24" xfId="0" applyNumberFormat="1" applyFont="1" applyFill="1" applyBorder="1" applyAlignment="1">
      <alignment horizontal="center" vertical="center"/>
    </xf>
    <xf numFmtId="4" fontId="1" fillId="2" borderId="26" xfId="0" applyNumberFormat="1" applyFont="1" applyFill="1" applyBorder="1" applyAlignment="1">
      <alignment horizontal="center" vertical="center"/>
    </xf>
    <xf numFmtId="4" fontId="1" fillId="0" borderId="30" xfId="0" applyNumberFormat="1" applyFont="1" applyBorder="1" applyAlignment="1">
      <alignment horizontal="center" vertical="center"/>
    </xf>
    <xf numFmtId="4" fontId="1" fillId="2" borderId="25" xfId="0" applyNumberFormat="1" applyFont="1" applyFill="1" applyBorder="1" applyAlignment="1">
      <alignment horizontal="center" vertical="center"/>
    </xf>
    <xf numFmtId="4" fontId="1" fillId="0" borderId="31" xfId="0" applyNumberFormat="1" applyFont="1" applyBorder="1" applyAlignment="1">
      <alignment horizontal="center" vertical="center"/>
    </xf>
    <xf numFmtId="4" fontId="2" fillId="0" borderId="31" xfId="0" applyNumberFormat="1" applyFont="1" applyBorder="1" applyAlignment="1">
      <alignment horizontal="center" vertical="center"/>
    </xf>
    <xf numFmtId="4" fontId="2" fillId="2" borderId="25" xfId="0" applyNumberFormat="1" applyFont="1" applyFill="1" applyBorder="1" applyAlignment="1">
      <alignment horizontal="center" vertical="center"/>
    </xf>
    <xf numFmtId="4" fontId="2" fillId="0" borderId="30" xfId="0" applyNumberFormat="1" applyFont="1" applyBorder="1" applyAlignment="1">
      <alignment horizontal="center" vertical="center"/>
    </xf>
    <xf numFmtId="4" fontId="2" fillId="2" borderId="26" xfId="0" applyNumberFormat="1" applyFont="1" applyFill="1" applyBorder="1" applyAlignment="1">
      <alignment horizontal="center" vertical="center"/>
    </xf>
    <xf numFmtId="4" fontId="1" fillId="0" borderId="19" xfId="0" applyNumberFormat="1" applyFont="1" applyFill="1" applyBorder="1" applyAlignment="1">
      <alignment horizontal="center" vertical="center"/>
    </xf>
    <xf numFmtId="4" fontId="1" fillId="2" borderId="27" xfId="0" applyNumberFormat="1" applyFont="1" applyFill="1" applyBorder="1" applyAlignment="1">
      <alignment horizontal="center" vertical="center"/>
    </xf>
    <xf numFmtId="4" fontId="1" fillId="0" borderId="27" xfId="0" applyNumberFormat="1" applyFont="1" applyFill="1" applyBorder="1" applyAlignment="1">
      <alignment horizontal="center" vertical="center"/>
    </xf>
    <xf numFmtId="4" fontId="1" fillId="0" borderId="17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10" fontId="1" fillId="0" borderId="14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0" fontId="1" fillId="0" borderId="2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2" fontId="2" fillId="2" borderId="19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2" borderId="19" xfId="0" applyNumberFormat="1" applyFont="1" applyFill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 vertical="center"/>
    </xf>
    <xf numFmtId="2" fontId="1" fillId="0" borderId="27" xfId="0" applyNumberFormat="1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2" fontId="2" fillId="2" borderId="36" xfId="0" applyNumberFormat="1" applyFont="1" applyFill="1" applyBorder="1" applyAlignment="1">
      <alignment horizontal="center" vertical="center"/>
    </xf>
    <xf numFmtId="2" fontId="2" fillId="2" borderId="22" xfId="0" applyNumberFormat="1" applyFont="1" applyFill="1" applyBorder="1" applyAlignment="1">
      <alignment horizontal="center" vertical="center"/>
    </xf>
    <xf numFmtId="2" fontId="1" fillId="2" borderId="22" xfId="0" applyNumberFormat="1" applyFont="1" applyFill="1" applyBorder="1" applyAlignment="1">
      <alignment horizontal="center" vertical="center"/>
    </xf>
    <xf numFmtId="10" fontId="1" fillId="0" borderId="16" xfId="0" applyNumberFormat="1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4" fontId="2" fillId="2" borderId="38" xfId="0" applyNumberFormat="1" applyFont="1" applyFill="1" applyBorder="1" applyAlignment="1">
      <alignment horizontal="center" vertical="center"/>
    </xf>
    <xf numFmtId="4" fontId="2" fillId="2" borderId="39" xfId="0" applyNumberFormat="1" applyFont="1" applyFill="1" applyBorder="1" applyAlignment="1">
      <alignment horizontal="center" vertical="center"/>
    </xf>
    <xf numFmtId="4" fontId="2" fillId="2" borderId="40" xfId="0" applyNumberFormat="1" applyFont="1" applyFill="1" applyBorder="1" applyAlignment="1">
      <alignment horizontal="center" vertical="center"/>
    </xf>
    <xf numFmtId="4" fontId="2" fillId="2" borderId="41" xfId="0" applyNumberFormat="1" applyFont="1" applyFill="1" applyBorder="1" applyAlignment="1">
      <alignment horizontal="center" vertical="center"/>
    </xf>
    <xf numFmtId="4" fontId="1" fillId="2" borderId="34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/>
    </xf>
    <xf numFmtId="4" fontId="2" fillId="0" borderId="23" xfId="0" applyNumberFormat="1" applyFont="1" applyBorder="1" applyAlignment="1">
      <alignment horizontal="center" vertical="center"/>
    </xf>
    <xf numFmtId="4" fontId="2" fillId="0" borderId="24" xfId="0" applyNumberFormat="1" applyFont="1" applyBorder="1" applyAlignment="1">
      <alignment horizontal="center" vertical="center"/>
    </xf>
    <xf numFmtId="4" fontId="2" fillId="0" borderId="25" xfId="0" applyNumberFormat="1" applyFont="1" applyBorder="1" applyAlignment="1">
      <alignment horizontal="center" vertical="center"/>
    </xf>
    <xf numFmtId="4" fontId="2" fillId="0" borderId="26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2" fontId="2" fillId="2" borderId="20" xfId="0" applyNumberFormat="1" applyFont="1" applyFill="1" applyBorder="1" applyAlignment="1">
      <alignment horizontal="center" vertical="center"/>
    </xf>
    <xf numFmtId="2" fontId="2" fillId="2" borderId="21" xfId="0" applyNumberFormat="1" applyFont="1" applyFill="1" applyBorder="1" applyAlignment="1">
      <alignment horizontal="center" vertical="center"/>
    </xf>
    <xf numFmtId="2" fontId="1" fillId="2" borderId="49" xfId="0" applyNumberFormat="1" applyFont="1" applyFill="1" applyBorder="1" applyAlignment="1">
      <alignment horizontal="center" vertical="center"/>
    </xf>
    <xf numFmtId="2" fontId="1" fillId="2" borderId="21" xfId="0" applyNumberFormat="1" applyFont="1" applyFill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5" fontId="1" fillId="0" borderId="22" xfId="0" applyNumberFormat="1" applyFont="1" applyBorder="1" applyAlignment="1">
      <alignment horizontal="center" vertical="center"/>
    </xf>
    <xf numFmtId="165" fontId="1" fillId="0" borderId="21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165" fontId="1" fillId="0" borderId="32" xfId="0" applyNumberFormat="1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Representing Percentage</a:t>
            </a:r>
            <a:r>
              <a:rPr lang="en-US" baseline="0"/>
              <a:t> Difference Between Forecast and Actual Hours Over Development 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'Development Phase % Difference'!$B$4:$B$12</c:f>
              <c:strCache>
                <c:ptCount val="9"/>
                <c:pt idx="0">
                  <c:v>Alex B</c:v>
                </c:pt>
                <c:pt idx="1">
                  <c:v>Alex F</c:v>
                </c:pt>
                <c:pt idx="2">
                  <c:v>Jack</c:v>
                </c:pt>
                <c:pt idx="3">
                  <c:v>Jeremy</c:v>
                </c:pt>
                <c:pt idx="4">
                  <c:v>Kevin</c:v>
                </c:pt>
                <c:pt idx="5">
                  <c:v>Marco</c:v>
                </c:pt>
                <c:pt idx="6">
                  <c:v>Miranda</c:v>
                </c:pt>
                <c:pt idx="7">
                  <c:v>St.John</c:v>
                </c:pt>
                <c:pt idx="8">
                  <c:v>Group Total</c:v>
                </c:pt>
              </c:strCache>
            </c:strRef>
          </c:cat>
          <c:val>
            <c:numRef>
              <c:f>'Development Phase % Difference'!$C$4:$C$12</c:f>
              <c:numCache>
                <c:formatCode>General</c:formatCode>
                <c:ptCount val="9"/>
                <c:pt idx="0">
                  <c:v>44.512195121951223</c:v>
                </c:pt>
                <c:pt idx="1">
                  <c:v>5.2067381316998471</c:v>
                </c:pt>
                <c:pt idx="2">
                  <c:v>10.352264557872035</c:v>
                </c:pt>
                <c:pt idx="3">
                  <c:v>23.450586264656618</c:v>
                </c:pt>
                <c:pt idx="4">
                  <c:v>18.294360385144429</c:v>
                </c:pt>
                <c:pt idx="5">
                  <c:v>52.690763052208837</c:v>
                </c:pt>
                <c:pt idx="6">
                  <c:v>-5.5873925501432664</c:v>
                </c:pt>
                <c:pt idx="7">
                  <c:v>1.2195121951219512</c:v>
                </c:pt>
                <c:pt idx="8">
                  <c:v>18.541033434650455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8-4A6D-B708-E014EF067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149208"/>
        <c:axId val="405150192"/>
      </c:barChart>
      <c:catAx>
        <c:axId val="405149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Role in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50192"/>
        <c:crosses val="autoZero"/>
        <c:auto val="1"/>
        <c:lblAlgn val="ctr"/>
        <c:lblOffset val="100"/>
        <c:noMultiLvlLbl val="0"/>
      </c:catAx>
      <c:valAx>
        <c:axId val="40515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Difference Over Development Phase (Per Person and Group Total)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049537037037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4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14287</xdr:rowOff>
    </xdr:from>
    <xdr:to>
      <xdr:col>11</xdr:col>
      <xdr:colOff>314325</xdr:colOff>
      <xdr:row>12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EC53A-CBCF-41F6-A9EE-126126013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D9C60-B00B-4F9E-8987-0A1EC26658A5}">
  <dimension ref="B1:AR26"/>
  <sheetViews>
    <sheetView tabSelected="1" topLeftCell="B1" zoomScale="54" zoomScaleNormal="54" workbookViewId="0">
      <selection activeCell="AG37" sqref="AG37"/>
    </sheetView>
  </sheetViews>
  <sheetFormatPr defaultRowHeight="14.25" x14ac:dyDescent="0.25"/>
  <cols>
    <col min="1" max="1" width="9.140625" style="9"/>
    <col min="2" max="2" width="14" style="9" customWidth="1"/>
    <col min="3" max="3" width="8.28515625" style="9" bestFit="1" customWidth="1"/>
    <col min="4" max="4" width="9.42578125" style="9" bestFit="1" customWidth="1"/>
    <col min="5" max="5" width="8.140625" style="9" bestFit="1" customWidth="1"/>
    <col min="6" max="8" width="9.42578125" style="9" bestFit="1" customWidth="1"/>
    <col min="9" max="9" width="8.140625" style="9" bestFit="1" customWidth="1"/>
    <col min="10" max="14" width="9.42578125" style="9" bestFit="1" customWidth="1"/>
    <col min="15" max="15" width="10.7109375" style="9" customWidth="1"/>
    <col min="16" max="20" width="9.42578125" style="9" bestFit="1" customWidth="1"/>
    <col min="21" max="35" width="9.28515625" style="9" bestFit="1" customWidth="1"/>
    <col min="36" max="36" width="9.42578125" style="9" bestFit="1" customWidth="1"/>
    <col min="37" max="39" width="9.140625" style="9"/>
    <col min="40" max="40" width="9.42578125" style="9" bestFit="1" customWidth="1"/>
    <col min="41" max="41" width="9.140625" style="9"/>
    <col min="42" max="42" width="10.140625" style="9" bestFit="1" customWidth="1"/>
    <col min="43" max="43" width="11" style="9" customWidth="1"/>
    <col min="44" max="44" width="10.5703125" style="9" bestFit="1" customWidth="1"/>
    <col min="45" max="45" width="18.7109375" style="9" customWidth="1"/>
    <col min="46" max="16384" width="9.140625" style="9"/>
  </cols>
  <sheetData>
    <row r="1" spans="2:44" x14ac:dyDescent="0.25">
      <c r="P1" s="43"/>
      <c r="Q1" s="43"/>
    </row>
    <row r="2" spans="2:44" ht="45.75" customHeight="1" x14ac:dyDescent="0.25">
      <c r="B2" s="44"/>
      <c r="C2" s="104">
        <v>43115</v>
      </c>
      <c r="D2" s="97"/>
      <c r="E2" s="100" t="str">
        <f>TEXT(C2+7,"dd/mm/yyyy")</f>
        <v>22/01/2018</v>
      </c>
      <c r="F2" s="100"/>
      <c r="G2" s="100" t="str">
        <f t="shared" ref="G2" si="0">TEXT(E2+7,"dd/mm/yyyy")</f>
        <v>29/01/2018</v>
      </c>
      <c r="H2" s="100"/>
      <c r="I2" s="100" t="str">
        <f t="shared" ref="I2" si="1">TEXT(G2+7,"dd/mm/yyyy")</f>
        <v>05/02/2018</v>
      </c>
      <c r="J2" s="100"/>
      <c r="K2" s="100" t="str">
        <f t="shared" ref="K2" si="2">TEXT(I2+7,"dd/mm/yyyy")</f>
        <v>12/02/2018</v>
      </c>
      <c r="L2" s="100"/>
      <c r="M2" s="100" t="str">
        <f t="shared" ref="M2" si="3">TEXT(K2+7,"dd/mm/yyyy")</f>
        <v>19/02/2018</v>
      </c>
      <c r="N2" s="100"/>
      <c r="O2" s="100" t="str">
        <f t="shared" ref="O2" si="4">TEXT(M2+7,"dd/mm/yyyy")</f>
        <v>26/02/2018</v>
      </c>
      <c r="P2" s="100"/>
      <c r="Q2" s="100" t="str">
        <f t="shared" ref="Q2" si="5">TEXT(O2+7,"dd/mm/yyyy")</f>
        <v>05/03/2018</v>
      </c>
      <c r="R2" s="100"/>
      <c r="S2" s="100" t="str">
        <f t="shared" ref="S2" si="6">TEXT(Q2+7,"dd/mm/yyyy")</f>
        <v>12/03/2018</v>
      </c>
      <c r="T2" s="100"/>
      <c r="U2" s="100" t="str">
        <f t="shared" ref="U2" si="7">TEXT(S2+7,"dd/mm/yyyy")</f>
        <v>19/03/2018</v>
      </c>
      <c r="V2" s="100"/>
      <c r="W2" s="100" t="str">
        <f t="shared" ref="W2" si="8">TEXT(U2+7,"dd/mm/yyyy")</f>
        <v>26/03/2018</v>
      </c>
      <c r="X2" s="100"/>
      <c r="Y2" s="100" t="str">
        <f t="shared" ref="Y2" si="9">TEXT(W2+7,"dd/mm/yyyy")</f>
        <v>02/04/2018</v>
      </c>
      <c r="Z2" s="100"/>
      <c r="AA2" s="100" t="str">
        <f t="shared" ref="AA2" si="10">TEXT(Y2+7,"dd/mm/yyyy")</f>
        <v>09/04/2018</v>
      </c>
      <c r="AB2" s="100"/>
      <c r="AC2" s="100" t="str">
        <f t="shared" ref="AC2" si="11">TEXT(AA2+7,"dd/mm/yyyy")</f>
        <v>16/04/2018</v>
      </c>
      <c r="AD2" s="100"/>
      <c r="AE2" s="100" t="str">
        <f t="shared" ref="AE2" si="12">TEXT(AC2+7,"dd/mm/yyyy")</f>
        <v>23/04/2018</v>
      </c>
      <c r="AF2" s="100"/>
      <c r="AG2" s="100" t="str">
        <f t="shared" ref="AG2" si="13">TEXT(AE2+7,"dd/mm/yyyy")</f>
        <v>30/04/2018</v>
      </c>
      <c r="AH2" s="100"/>
      <c r="AI2" s="100" t="str">
        <f t="shared" ref="AI2" si="14">TEXT(AG2+7,"dd/mm/yyyy")</f>
        <v>07/05/2018</v>
      </c>
      <c r="AJ2" s="100"/>
      <c r="AK2" s="100" t="str">
        <f t="shared" ref="AK2" si="15">TEXT(AI2+7,"dd/mm/yyyy")</f>
        <v>14/05/2018</v>
      </c>
      <c r="AL2" s="100"/>
      <c r="AM2" s="101" t="str">
        <f t="shared" ref="AM2" si="16">TEXT(AK2+7,"dd/mm/yyyy")</f>
        <v>21/05/2018</v>
      </c>
      <c r="AN2" s="101"/>
      <c r="AO2" s="98" t="str">
        <f t="shared" ref="AO2" si="17">TEXT(AM2+7,"dd/mm/yyyy")</f>
        <v>28/05/2018</v>
      </c>
      <c r="AP2" s="99"/>
      <c r="AQ2" s="105" t="s">
        <v>15</v>
      </c>
      <c r="AR2" s="105"/>
    </row>
    <row r="3" spans="2:44" ht="29.25" thickBot="1" x14ac:dyDescent="0.3">
      <c r="B3" s="45" t="s">
        <v>0</v>
      </c>
      <c r="C3" s="46" t="s">
        <v>2</v>
      </c>
      <c r="D3" s="47" t="s">
        <v>1</v>
      </c>
      <c r="E3" s="46" t="s">
        <v>2</v>
      </c>
      <c r="F3" s="46" t="s">
        <v>1</v>
      </c>
      <c r="G3" s="46" t="s">
        <v>2</v>
      </c>
      <c r="H3" s="46" t="s">
        <v>1</v>
      </c>
      <c r="I3" s="46" t="s">
        <v>2</v>
      </c>
      <c r="J3" s="46" t="s">
        <v>1</v>
      </c>
      <c r="K3" s="46" t="s">
        <v>2</v>
      </c>
      <c r="L3" s="46" t="s">
        <v>1</v>
      </c>
      <c r="M3" s="46" t="s">
        <v>2</v>
      </c>
      <c r="N3" s="46" t="s">
        <v>1</v>
      </c>
      <c r="O3" s="46" t="s">
        <v>2</v>
      </c>
      <c r="P3" s="46" t="s">
        <v>1</v>
      </c>
      <c r="Q3" s="46" t="s">
        <v>2</v>
      </c>
      <c r="R3" s="46" t="s">
        <v>1</v>
      </c>
      <c r="S3" s="46" t="s">
        <v>2</v>
      </c>
      <c r="T3" s="46" t="s">
        <v>1</v>
      </c>
      <c r="U3" s="46" t="s">
        <v>2</v>
      </c>
      <c r="V3" s="46" t="s">
        <v>1</v>
      </c>
      <c r="W3" s="46" t="s">
        <v>2</v>
      </c>
      <c r="X3" s="46" t="s">
        <v>1</v>
      </c>
      <c r="Y3" s="46" t="s">
        <v>2</v>
      </c>
      <c r="Z3" s="46" t="s">
        <v>1</v>
      </c>
      <c r="AA3" s="46" t="s">
        <v>2</v>
      </c>
      <c r="AB3" s="46" t="s">
        <v>1</v>
      </c>
      <c r="AC3" s="46" t="s">
        <v>2</v>
      </c>
      <c r="AD3" s="46" t="s">
        <v>1</v>
      </c>
      <c r="AE3" s="46" t="s">
        <v>2</v>
      </c>
      <c r="AF3" s="46" t="s">
        <v>1</v>
      </c>
      <c r="AG3" s="46" t="s">
        <v>2</v>
      </c>
      <c r="AH3" s="46" t="s">
        <v>1</v>
      </c>
      <c r="AI3" s="46" t="s">
        <v>2</v>
      </c>
      <c r="AJ3" s="46" t="s">
        <v>1</v>
      </c>
      <c r="AK3" s="46" t="s">
        <v>2</v>
      </c>
      <c r="AL3" s="46" t="s">
        <v>1</v>
      </c>
      <c r="AM3" s="54" t="s">
        <v>2</v>
      </c>
      <c r="AN3" s="54" t="s">
        <v>1</v>
      </c>
      <c r="AO3" s="70" t="s">
        <v>2</v>
      </c>
      <c r="AP3" s="71" t="s">
        <v>1</v>
      </c>
      <c r="AQ3" s="82" t="s">
        <v>2</v>
      </c>
      <c r="AR3" s="82" t="s">
        <v>1</v>
      </c>
    </row>
    <row r="4" spans="2:44" x14ac:dyDescent="0.25">
      <c r="B4" s="48" t="s">
        <v>12</v>
      </c>
      <c r="C4" s="1">
        <v>2</v>
      </c>
      <c r="D4" s="2">
        <v>6.75</v>
      </c>
      <c r="E4" s="1">
        <v>6</v>
      </c>
      <c r="F4" s="3">
        <v>3</v>
      </c>
      <c r="G4" s="1">
        <v>13</v>
      </c>
      <c r="H4" s="3">
        <v>7.5</v>
      </c>
      <c r="I4" s="1">
        <v>5</v>
      </c>
      <c r="J4" s="3">
        <v>19.5</v>
      </c>
      <c r="K4" s="1">
        <v>4.5</v>
      </c>
      <c r="L4" s="3">
        <v>19</v>
      </c>
      <c r="M4" s="1">
        <v>7.75</v>
      </c>
      <c r="N4" s="3">
        <v>18.25</v>
      </c>
      <c r="O4" s="1">
        <v>4.25</v>
      </c>
      <c r="P4" s="3">
        <v>18.25</v>
      </c>
      <c r="Q4" s="1">
        <v>13.5</v>
      </c>
      <c r="R4" s="3">
        <v>18.25</v>
      </c>
      <c r="S4" s="1">
        <v>2</v>
      </c>
      <c r="T4" s="3">
        <v>12</v>
      </c>
      <c r="U4" s="1">
        <v>0</v>
      </c>
      <c r="V4" s="3">
        <v>9</v>
      </c>
      <c r="W4" s="1">
        <v>1</v>
      </c>
      <c r="X4" s="3">
        <v>9</v>
      </c>
      <c r="Y4" s="1">
        <v>0</v>
      </c>
      <c r="Z4" s="3">
        <v>9</v>
      </c>
      <c r="AA4" s="4">
        <v>0</v>
      </c>
      <c r="AB4" s="5">
        <v>5.25</v>
      </c>
      <c r="AC4" s="4">
        <v>8.75</v>
      </c>
      <c r="AD4" s="5">
        <v>6.5</v>
      </c>
      <c r="AE4" s="4">
        <v>1.5</v>
      </c>
      <c r="AF4" s="5">
        <v>6.5</v>
      </c>
      <c r="AG4" s="4">
        <v>5.5</v>
      </c>
      <c r="AH4" s="5">
        <v>6.5</v>
      </c>
      <c r="AI4" s="59">
        <v>12</v>
      </c>
      <c r="AJ4" s="60">
        <v>4</v>
      </c>
      <c r="AK4" s="59">
        <v>5.5</v>
      </c>
      <c r="AL4" s="60">
        <v>7.75</v>
      </c>
      <c r="AM4" s="69">
        <v>9.5</v>
      </c>
      <c r="AN4" s="93">
        <v>9.75</v>
      </c>
      <c r="AO4" s="66">
        <v>12</v>
      </c>
      <c r="AP4" s="72">
        <v>9.25</v>
      </c>
      <c r="AQ4" s="64">
        <f>SUM(C4,E4,G4,I4,K4,M4,O4,Q4,S4,U4,W4,Y4,AA4,AC4,AE4,AG4,AI4,AK4,AM4,AO4)</f>
        <v>113.75</v>
      </c>
      <c r="AR4" s="65">
        <f>SUM(D4,F4,H4,J4,L4,N4,P4,R4,T4,V4, X4,Z4,AB4,AD4,AF4,AH4,AJ4,AL4,AN4,AP4)</f>
        <v>205</v>
      </c>
    </row>
    <row r="5" spans="2:44" x14ac:dyDescent="0.25">
      <c r="B5" s="49" t="s">
        <v>8</v>
      </c>
      <c r="C5" s="6">
        <v>4.5</v>
      </c>
      <c r="D5" s="7">
        <v>27.5</v>
      </c>
      <c r="E5" s="6">
        <v>11</v>
      </c>
      <c r="F5" s="8">
        <v>16.5</v>
      </c>
      <c r="G5" s="6">
        <v>21.5</v>
      </c>
      <c r="H5" s="8">
        <v>2.5</v>
      </c>
      <c r="I5" s="6">
        <v>3.5</v>
      </c>
      <c r="J5" s="8">
        <v>7</v>
      </c>
      <c r="K5" s="6">
        <v>10.25</v>
      </c>
      <c r="L5" s="8">
        <v>6.75</v>
      </c>
      <c r="M5" s="6">
        <v>14.5</v>
      </c>
      <c r="N5" s="8">
        <v>7.25</v>
      </c>
      <c r="O5" s="6">
        <v>6.5</v>
      </c>
      <c r="P5" s="8">
        <v>7.25</v>
      </c>
      <c r="Q5" s="6">
        <v>13</v>
      </c>
      <c r="R5" s="8">
        <v>7.25</v>
      </c>
      <c r="S5" s="9">
        <v>2.5</v>
      </c>
      <c r="T5" s="8">
        <v>6.75</v>
      </c>
      <c r="U5" s="9">
        <v>0</v>
      </c>
      <c r="V5" s="8">
        <v>3</v>
      </c>
      <c r="W5" s="6">
        <v>0</v>
      </c>
      <c r="X5" s="8">
        <v>3</v>
      </c>
      <c r="Y5" s="6">
        <v>5</v>
      </c>
      <c r="Z5" s="8">
        <v>3</v>
      </c>
      <c r="AA5" s="10">
        <v>7</v>
      </c>
      <c r="AB5" s="11">
        <v>3</v>
      </c>
      <c r="AC5" s="10">
        <v>9.5</v>
      </c>
      <c r="AD5" s="11">
        <v>5</v>
      </c>
      <c r="AE5" s="10">
        <v>5</v>
      </c>
      <c r="AF5" s="11">
        <v>5</v>
      </c>
      <c r="AG5" s="10">
        <v>2</v>
      </c>
      <c r="AH5" s="11">
        <v>5</v>
      </c>
      <c r="AI5" s="61">
        <v>7.25</v>
      </c>
      <c r="AJ5" s="62">
        <v>14</v>
      </c>
      <c r="AK5" s="61">
        <v>0</v>
      </c>
      <c r="AL5" s="62">
        <v>2</v>
      </c>
      <c r="AM5" s="64">
        <v>9.5</v>
      </c>
      <c r="AN5" s="94">
        <v>6.75</v>
      </c>
      <c r="AO5" s="67">
        <v>22.25</v>
      </c>
      <c r="AP5" s="73">
        <v>24.75</v>
      </c>
      <c r="AQ5" s="64">
        <f>SUM(C5,E5,G5,I5,K5,M5,O5,Q5,S5,U5,W5,Y5,AA5,AC5,AE5,AG5,AI5,AK5,AM5,AO5)</f>
        <v>154.75</v>
      </c>
      <c r="AR5" s="65">
        <f t="shared" ref="AR5:AR12" si="18">SUM(D5,F5,H5,J5,L5,N5,P5,R5,T5,V5, X5,Z5,AB5,AD5,AF5,AH5,AJ5,AL5,AN5,AP5)</f>
        <v>163.25</v>
      </c>
    </row>
    <row r="6" spans="2:44" x14ac:dyDescent="0.25">
      <c r="B6" s="49" t="s">
        <v>9</v>
      </c>
      <c r="C6" s="6">
        <v>4</v>
      </c>
      <c r="D6" s="7">
        <v>23</v>
      </c>
      <c r="E6" s="6">
        <v>10</v>
      </c>
      <c r="F6" s="8">
        <v>7.75</v>
      </c>
      <c r="G6" s="6">
        <v>7.5</v>
      </c>
      <c r="H6" s="8">
        <v>10.5</v>
      </c>
      <c r="I6" s="6">
        <v>16.5</v>
      </c>
      <c r="J6" s="8">
        <v>26.25</v>
      </c>
      <c r="K6" s="6">
        <v>17.75</v>
      </c>
      <c r="L6" s="8">
        <v>26.25</v>
      </c>
      <c r="M6" s="6">
        <v>35</v>
      </c>
      <c r="N6" s="8">
        <v>27.25</v>
      </c>
      <c r="O6" s="6">
        <v>26.75</v>
      </c>
      <c r="P6" s="8">
        <v>27.25</v>
      </c>
      <c r="Q6" s="6">
        <v>39.75</v>
      </c>
      <c r="R6" s="8">
        <v>27.25</v>
      </c>
      <c r="S6" s="6">
        <v>34</v>
      </c>
      <c r="T6" s="8">
        <v>28.25</v>
      </c>
      <c r="U6" s="6">
        <v>0</v>
      </c>
      <c r="V6" s="8">
        <v>30</v>
      </c>
      <c r="W6" s="6">
        <v>0</v>
      </c>
      <c r="X6" s="8">
        <v>30</v>
      </c>
      <c r="Y6" s="6">
        <v>3.75</v>
      </c>
      <c r="Z6" s="8">
        <v>30</v>
      </c>
      <c r="AA6" s="10">
        <v>19</v>
      </c>
      <c r="AB6" s="11">
        <v>2</v>
      </c>
      <c r="AC6" s="10">
        <v>6</v>
      </c>
      <c r="AD6" s="11">
        <v>2</v>
      </c>
      <c r="AE6" s="10">
        <v>4.5</v>
      </c>
      <c r="AF6" s="11">
        <v>2</v>
      </c>
      <c r="AG6" s="10">
        <v>3.5</v>
      </c>
      <c r="AH6" s="11">
        <v>2</v>
      </c>
      <c r="AI6" s="61">
        <v>0.75</v>
      </c>
      <c r="AJ6" s="62">
        <v>20</v>
      </c>
      <c r="AK6" s="61">
        <v>5.25</v>
      </c>
      <c r="AL6" s="62">
        <v>7.5</v>
      </c>
      <c r="AM6" s="64">
        <v>37</v>
      </c>
      <c r="AN6" s="94">
        <v>9.5</v>
      </c>
      <c r="AO6" s="67">
        <v>40.75</v>
      </c>
      <c r="AP6" s="73">
        <v>9</v>
      </c>
      <c r="AQ6" s="64">
        <f t="shared" ref="AQ6:AQ12" si="19">SUM(C6,E6,G6,I6,K6,M6,O6,Q6,S6,U6,W6,Y6,AA6,AC6,AE6,AG6,AI6,AK6,AM6,AO6)</f>
        <v>311.75</v>
      </c>
      <c r="AR6" s="65">
        <f t="shared" si="18"/>
        <v>347.75</v>
      </c>
    </row>
    <row r="7" spans="2:44" x14ac:dyDescent="0.25">
      <c r="B7" s="49" t="s">
        <v>10</v>
      </c>
      <c r="C7" s="6">
        <v>2</v>
      </c>
      <c r="D7" s="7">
        <v>13.75</v>
      </c>
      <c r="E7" s="6">
        <v>12.25</v>
      </c>
      <c r="F7" s="8">
        <v>13.75</v>
      </c>
      <c r="G7" s="6">
        <v>10.5</v>
      </c>
      <c r="H7" s="8">
        <v>14.5</v>
      </c>
      <c r="I7" s="6">
        <v>9.25</v>
      </c>
      <c r="J7" s="8">
        <v>9.75</v>
      </c>
      <c r="K7" s="6">
        <v>13.5</v>
      </c>
      <c r="L7" s="8">
        <v>9.5</v>
      </c>
      <c r="M7" s="6">
        <v>4.25</v>
      </c>
      <c r="N7" s="8">
        <v>8.5</v>
      </c>
      <c r="O7" s="6">
        <v>9</v>
      </c>
      <c r="P7" s="8">
        <v>8.5</v>
      </c>
      <c r="Q7" s="6">
        <v>7.5</v>
      </c>
      <c r="R7" s="8">
        <v>8.5</v>
      </c>
      <c r="S7" s="6">
        <v>13</v>
      </c>
      <c r="T7" s="8">
        <v>8.5</v>
      </c>
      <c r="U7" s="6">
        <v>0</v>
      </c>
      <c r="V7" s="8">
        <v>3</v>
      </c>
      <c r="W7" s="9">
        <v>0</v>
      </c>
      <c r="X7" s="8">
        <v>3</v>
      </c>
      <c r="Y7" s="6">
        <v>2</v>
      </c>
      <c r="Z7" s="8">
        <v>3</v>
      </c>
      <c r="AA7" s="10">
        <v>0</v>
      </c>
      <c r="AB7" s="11">
        <v>3</v>
      </c>
      <c r="AC7" s="9">
        <v>0</v>
      </c>
      <c r="AD7" s="11">
        <v>5</v>
      </c>
      <c r="AE7" s="9">
        <v>0</v>
      </c>
      <c r="AF7" s="11">
        <v>5</v>
      </c>
      <c r="AG7" s="9">
        <v>0.5</v>
      </c>
      <c r="AH7" s="11">
        <v>5</v>
      </c>
      <c r="AI7" s="63">
        <v>0.75</v>
      </c>
      <c r="AJ7" s="62">
        <v>4.25</v>
      </c>
      <c r="AK7" s="63">
        <v>3</v>
      </c>
      <c r="AL7" s="62">
        <v>6.25</v>
      </c>
      <c r="AM7" s="64">
        <v>10.75</v>
      </c>
      <c r="AN7" s="95">
        <v>8.25</v>
      </c>
      <c r="AO7" s="63">
        <v>16</v>
      </c>
      <c r="AP7" s="73">
        <v>8.25</v>
      </c>
      <c r="AQ7" s="64">
        <f t="shared" si="19"/>
        <v>114.25</v>
      </c>
      <c r="AR7" s="65">
        <f t="shared" si="18"/>
        <v>149.25</v>
      </c>
    </row>
    <row r="8" spans="2:44" x14ac:dyDescent="0.25">
      <c r="B8" s="49" t="s">
        <v>13</v>
      </c>
      <c r="C8" s="6">
        <v>2</v>
      </c>
      <c r="D8" s="7">
        <v>4</v>
      </c>
      <c r="E8" s="6">
        <v>7.5</v>
      </c>
      <c r="F8" s="8">
        <v>2</v>
      </c>
      <c r="G8" s="6">
        <v>3</v>
      </c>
      <c r="H8" s="8">
        <v>1</v>
      </c>
      <c r="I8" s="6">
        <v>4</v>
      </c>
      <c r="J8" s="8">
        <v>17</v>
      </c>
      <c r="K8" s="6">
        <v>4.5</v>
      </c>
      <c r="L8" s="8">
        <v>17</v>
      </c>
      <c r="M8" s="6">
        <v>7</v>
      </c>
      <c r="N8" s="8">
        <v>18</v>
      </c>
      <c r="O8" s="6">
        <v>3</v>
      </c>
      <c r="P8" s="8">
        <v>18</v>
      </c>
      <c r="Q8" s="6">
        <v>16.5</v>
      </c>
      <c r="R8" s="8">
        <v>18</v>
      </c>
      <c r="S8" s="6">
        <v>8.25</v>
      </c>
      <c r="T8" s="8">
        <v>18</v>
      </c>
      <c r="U8" s="6">
        <v>6</v>
      </c>
      <c r="V8" s="8">
        <v>7</v>
      </c>
      <c r="W8" s="6">
        <v>6</v>
      </c>
      <c r="X8" s="8">
        <v>7</v>
      </c>
      <c r="Y8" s="9">
        <v>6</v>
      </c>
      <c r="Z8" s="8">
        <v>7</v>
      </c>
      <c r="AA8" s="10">
        <v>6</v>
      </c>
      <c r="AB8" s="11">
        <v>7</v>
      </c>
      <c r="AC8" s="10">
        <v>4.5</v>
      </c>
      <c r="AD8" s="11">
        <v>9</v>
      </c>
      <c r="AE8" s="10">
        <v>0</v>
      </c>
      <c r="AF8" s="11">
        <v>9</v>
      </c>
      <c r="AG8" s="10">
        <v>2</v>
      </c>
      <c r="AH8" s="11">
        <v>9</v>
      </c>
      <c r="AI8" s="61">
        <v>0.75</v>
      </c>
      <c r="AJ8" s="62">
        <v>7.75</v>
      </c>
      <c r="AK8" s="61">
        <v>3</v>
      </c>
      <c r="AL8" s="62">
        <v>2</v>
      </c>
      <c r="AM8" s="64">
        <v>19.5</v>
      </c>
      <c r="AN8" s="94">
        <v>2</v>
      </c>
      <c r="AO8" s="67">
        <v>39</v>
      </c>
      <c r="AP8" s="73">
        <v>2</v>
      </c>
      <c r="AQ8" s="64">
        <f t="shared" si="19"/>
        <v>148.5</v>
      </c>
      <c r="AR8" s="65">
        <f t="shared" si="18"/>
        <v>181.75</v>
      </c>
    </row>
    <row r="9" spans="2:44" x14ac:dyDescent="0.25">
      <c r="B9" s="49" t="s">
        <v>7</v>
      </c>
      <c r="C9" s="6">
        <v>2</v>
      </c>
      <c r="D9" s="7">
        <v>10.5</v>
      </c>
      <c r="E9" s="6">
        <v>3</v>
      </c>
      <c r="F9" s="8">
        <v>2</v>
      </c>
      <c r="G9" s="6">
        <v>10.75</v>
      </c>
      <c r="H9" s="8">
        <v>16</v>
      </c>
      <c r="I9" s="6">
        <v>4.75</v>
      </c>
      <c r="J9" s="8">
        <v>30</v>
      </c>
      <c r="K9" s="6">
        <v>18.5</v>
      </c>
      <c r="L9" s="8">
        <v>30.5</v>
      </c>
      <c r="M9" s="6">
        <v>13.25</v>
      </c>
      <c r="N9" s="8">
        <v>20.5</v>
      </c>
      <c r="O9" s="6">
        <v>2.5</v>
      </c>
      <c r="P9" s="8">
        <v>20.5</v>
      </c>
      <c r="Q9" s="6">
        <v>3</v>
      </c>
      <c r="R9" s="8">
        <v>20.5</v>
      </c>
      <c r="S9" s="6">
        <v>23.5</v>
      </c>
      <c r="T9" s="8">
        <v>18.75</v>
      </c>
      <c r="U9" s="6">
        <v>11.75</v>
      </c>
      <c r="V9" s="8">
        <v>10.25</v>
      </c>
      <c r="W9" s="6">
        <v>4.25</v>
      </c>
      <c r="X9" s="8">
        <v>10.25</v>
      </c>
      <c r="Y9" s="6">
        <v>24.25</v>
      </c>
      <c r="Z9" s="8">
        <v>10.25</v>
      </c>
      <c r="AA9" s="10">
        <v>6.25</v>
      </c>
      <c r="AB9" s="11">
        <v>10.25</v>
      </c>
      <c r="AC9" s="10">
        <v>1</v>
      </c>
      <c r="AD9" s="11">
        <v>12.25</v>
      </c>
      <c r="AE9" s="10">
        <v>0</v>
      </c>
      <c r="AF9" s="11">
        <v>12.25</v>
      </c>
      <c r="AG9" s="10">
        <v>0</v>
      </c>
      <c r="AH9" s="11">
        <v>12.25</v>
      </c>
      <c r="AI9" s="61">
        <v>0.75</v>
      </c>
      <c r="AJ9" s="62">
        <v>11</v>
      </c>
      <c r="AK9" s="61">
        <v>0</v>
      </c>
      <c r="AL9" s="62">
        <v>7.5</v>
      </c>
      <c r="AM9" s="64">
        <v>4.75</v>
      </c>
      <c r="AN9" s="94">
        <v>14</v>
      </c>
      <c r="AO9" s="67">
        <v>13</v>
      </c>
      <c r="AP9" s="73">
        <v>31.75</v>
      </c>
      <c r="AQ9" s="64">
        <f t="shared" si="19"/>
        <v>147.25</v>
      </c>
      <c r="AR9" s="65">
        <f t="shared" si="18"/>
        <v>311.25</v>
      </c>
    </row>
    <row r="10" spans="2:44" x14ac:dyDescent="0.25">
      <c r="B10" s="49" t="s">
        <v>11</v>
      </c>
      <c r="C10" s="6">
        <v>5</v>
      </c>
      <c r="D10" s="7">
        <v>12</v>
      </c>
      <c r="E10" s="6">
        <v>13.25</v>
      </c>
      <c r="F10" s="8">
        <v>30.5</v>
      </c>
      <c r="G10" s="6">
        <v>27</v>
      </c>
      <c r="H10" s="8">
        <v>38</v>
      </c>
      <c r="I10" s="6">
        <v>23.25</v>
      </c>
      <c r="J10" s="8">
        <v>32.5</v>
      </c>
      <c r="K10" s="6">
        <v>31.75</v>
      </c>
      <c r="L10" s="8">
        <v>31.25</v>
      </c>
      <c r="M10" s="6">
        <v>28.5</v>
      </c>
      <c r="N10" s="8">
        <v>22.5</v>
      </c>
      <c r="O10" s="6">
        <v>23</v>
      </c>
      <c r="P10" s="8">
        <v>27.5</v>
      </c>
      <c r="Q10" s="6">
        <v>45</v>
      </c>
      <c r="R10" s="8">
        <v>24.75</v>
      </c>
      <c r="S10" s="6">
        <v>25.5</v>
      </c>
      <c r="T10" s="8">
        <v>13.5</v>
      </c>
      <c r="U10" s="6">
        <v>0.5</v>
      </c>
      <c r="V10" s="8">
        <v>11</v>
      </c>
      <c r="W10" s="6">
        <v>1.25</v>
      </c>
      <c r="X10" s="8">
        <v>10</v>
      </c>
      <c r="Y10" s="6">
        <v>5.25</v>
      </c>
      <c r="Z10" s="8">
        <v>5</v>
      </c>
      <c r="AA10" s="10">
        <v>5.5</v>
      </c>
      <c r="AB10" s="11">
        <v>5</v>
      </c>
      <c r="AC10" s="10">
        <v>4.75</v>
      </c>
      <c r="AD10" s="11">
        <v>7</v>
      </c>
      <c r="AE10" s="10">
        <v>6</v>
      </c>
      <c r="AF10" s="11">
        <v>7</v>
      </c>
      <c r="AG10" s="10">
        <v>23.5</v>
      </c>
      <c r="AH10" s="11">
        <v>7</v>
      </c>
      <c r="AI10" s="61">
        <v>1</v>
      </c>
      <c r="AJ10" s="62">
        <v>22.25</v>
      </c>
      <c r="AK10" s="61">
        <v>4.75</v>
      </c>
      <c r="AL10" s="62">
        <v>22.25</v>
      </c>
      <c r="AM10" s="64">
        <v>32.25</v>
      </c>
      <c r="AN10" s="94">
        <v>18</v>
      </c>
      <c r="AO10" s="67">
        <v>61.5</v>
      </c>
      <c r="AP10" s="73">
        <v>2</v>
      </c>
      <c r="AQ10" s="64">
        <f t="shared" si="19"/>
        <v>368.5</v>
      </c>
      <c r="AR10" s="65">
        <f t="shared" si="18"/>
        <v>349</v>
      </c>
    </row>
    <row r="11" spans="2:44" x14ac:dyDescent="0.25">
      <c r="B11" s="49" t="s">
        <v>14</v>
      </c>
      <c r="C11" s="6">
        <v>5</v>
      </c>
      <c r="D11" s="7">
        <v>12.5</v>
      </c>
      <c r="E11" s="6">
        <v>8</v>
      </c>
      <c r="F11" s="8">
        <v>12.5</v>
      </c>
      <c r="G11" s="6">
        <v>5.5</v>
      </c>
      <c r="H11" s="8">
        <v>18.5</v>
      </c>
      <c r="I11" s="6">
        <v>6</v>
      </c>
      <c r="J11" s="8">
        <v>13.75</v>
      </c>
      <c r="K11" s="6">
        <v>13</v>
      </c>
      <c r="L11" s="8">
        <v>12.5</v>
      </c>
      <c r="M11" s="6">
        <v>11.5</v>
      </c>
      <c r="N11" s="8">
        <v>8.75</v>
      </c>
      <c r="O11" s="6">
        <v>12.5</v>
      </c>
      <c r="P11" s="8">
        <v>8.75</v>
      </c>
      <c r="Q11" s="6">
        <v>7.5</v>
      </c>
      <c r="R11" s="8">
        <v>8.75</v>
      </c>
      <c r="S11" s="6">
        <v>8.5</v>
      </c>
      <c r="T11" s="8">
        <v>8</v>
      </c>
      <c r="U11" s="6">
        <v>5</v>
      </c>
      <c r="V11" s="8">
        <v>3</v>
      </c>
      <c r="W11" s="9">
        <v>0</v>
      </c>
      <c r="X11" s="8">
        <v>3</v>
      </c>
      <c r="Y11" s="6">
        <v>0</v>
      </c>
      <c r="Z11" s="8">
        <v>3</v>
      </c>
      <c r="AA11" s="10">
        <v>0</v>
      </c>
      <c r="AB11" s="11">
        <v>3</v>
      </c>
      <c r="AC11" s="10">
        <v>12</v>
      </c>
      <c r="AD11" s="11">
        <v>5</v>
      </c>
      <c r="AE11" s="10">
        <v>9.25</v>
      </c>
      <c r="AF11" s="11">
        <v>5</v>
      </c>
      <c r="AG11" s="10">
        <v>11</v>
      </c>
      <c r="AH11" s="11">
        <v>5</v>
      </c>
      <c r="AI11" s="61">
        <v>2.75</v>
      </c>
      <c r="AJ11" s="62">
        <v>9</v>
      </c>
      <c r="AK11" s="61">
        <v>0</v>
      </c>
      <c r="AL11" s="62">
        <v>15</v>
      </c>
      <c r="AM11" s="64">
        <v>27</v>
      </c>
      <c r="AN11" s="94">
        <v>17</v>
      </c>
      <c r="AO11" s="67">
        <v>37.75</v>
      </c>
      <c r="AP11" s="73">
        <v>12.5</v>
      </c>
      <c r="AQ11" s="64">
        <f t="shared" si="19"/>
        <v>182.25</v>
      </c>
      <c r="AR11" s="65">
        <f t="shared" si="18"/>
        <v>184.5</v>
      </c>
    </row>
    <row r="12" spans="2:44" x14ac:dyDescent="0.25">
      <c r="B12" s="50" t="s">
        <v>3</v>
      </c>
      <c r="C12" s="12">
        <v>26.5</v>
      </c>
      <c r="D12" s="8">
        <f t="shared" ref="D12:AB12" si="20">SUM(D4:D11)</f>
        <v>110</v>
      </c>
      <c r="E12" s="6">
        <v>71</v>
      </c>
      <c r="F12" s="8">
        <f t="shared" si="20"/>
        <v>88</v>
      </c>
      <c r="G12" s="6">
        <v>98.75</v>
      </c>
      <c r="H12" s="8">
        <f t="shared" si="20"/>
        <v>108.5</v>
      </c>
      <c r="I12" s="6">
        <v>72.25</v>
      </c>
      <c r="J12" s="8">
        <f t="shared" si="20"/>
        <v>155.75</v>
      </c>
      <c r="K12" s="6">
        <v>113.75</v>
      </c>
      <c r="L12" s="8">
        <f t="shared" si="20"/>
        <v>152.75</v>
      </c>
      <c r="M12" s="6">
        <f t="shared" si="20"/>
        <v>121.75</v>
      </c>
      <c r="N12" s="8">
        <f t="shared" si="20"/>
        <v>131</v>
      </c>
      <c r="O12" s="6">
        <f t="shared" si="20"/>
        <v>87.5</v>
      </c>
      <c r="P12" s="8">
        <f t="shared" si="20"/>
        <v>136</v>
      </c>
      <c r="Q12" s="6">
        <f t="shared" si="20"/>
        <v>145.75</v>
      </c>
      <c r="R12" s="8">
        <f t="shared" si="20"/>
        <v>133.25</v>
      </c>
      <c r="S12" s="6">
        <f t="shared" si="20"/>
        <v>117.25</v>
      </c>
      <c r="T12" s="8">
        <f t="shared" si="20"/>
        <v>113.75</v>
      </c>
      <c r="U12" s="6">
        <f t="shared" si="20"/>
        <v>23.25</v>
      </c>
      <c r="V12" s="8">
        <f t="shared" si="20"/>
        <v>76.25</v>
      </c>
      <c r="W12" s="6">
        <f t="shared" si="20"/>
        <v>12.5</v>
      </c>
      <c r="X12" s="8">
        <f t="shared" si="20"/>
        <v>75.25</v>
      </c>
      <c r="Y12" s="6">
        <f t="shared" si="20"/>
        <v>46.25</v>
      </c>
      <c r="Z12" s="8">
        <f t="shared" si="20"/>
        <v>70.25</v>
      </c>
      <c r="AA12" s="6">
        <f t="shared" si="20"/>
        <v>43.75</v>
      </c>
      <c r="AB12" s="8">
        <f t="shared" si="20"/>
        <v>38.5</v>
      </c>
      <c r="AC12" s="6">
        <f t="shared" ref="AC12:AD12" si="21">SUM(AC4:AC11)</f>
        <v>46.5</v>
      </c>
      <c r="AD12" s="8">
        <f t="shared" si="21"/>
        <v>51.75</v>
      </c>
      <c r="AE12" s="6">
        <f t="shared" ref="AE12:AJ12" si="22">SUM(AE4:AE11)</f>
        <v>26.25</v>
      </c>
      <c r="AF12" s="8">
        <f t="shared" si="22"/>
        <v>51.75</v>
      </c>
      <c r="AG12" s="6">
        <f t="shared" ref="AG12" si="23">SUM(AG4:AG11)</f>
        <v>48</v>
      </c>
      <c r="AH12" s="8">
        <f t="shared" si="22"/>
        <v>51.75</v>
      </c>
      <c r="AI12" s="64">
        <f t="shared" ref="AI12:AM12" si="24">SUM(AI4:AI11)</f>
        <v>26</v>
      </c>
      <c r="AJ12" s="65">
        <f t="shared" si="22"/>
        <v>92.25</v>
      </c>
      <c r="AK12" s="64">
        <f t="shared" si="24"/>
        <v>21.5</v>
      </c>
      <c r="AL12" s="65">
        <f t="shared" si="24"/>
        <v>70.25</v>
      </c>
      <c r="AM12" s="64">
        <f t="shared" si="24"/>
        <v>150.25</v>
      </c>
      <c r="AN12" s="96">
        <f>SUM(AN4:AN11)</f>
        <v>85.25</v>
      </c>
      <c r="AO12" s="68">
        <f t="shared" ref="AO12:AP12" si="25">SUM(AO4:AO11)</f>
        <v>242.25</v>
      </c>
      <c r="AP12" s="74">
        <f t="shared" si="25"/>
        <v>99.5</v>
      </c>
      <c r="AQ12" s="64">
        <f t="shared" si="19"/>
        <v>1541</v>
      </c>
      <c r="AR12" s="65">
        <f t="shared" si="18"/>
        <v>1891.75</v>
      </c>
    </row>
    <row r="13" spans="2:44" ht="46.5" customHeight="1" x14ac:dyDescent="0.25">
      <c r="B13" s="111" t="s">
        <v>6</v>
      </c>
      <c r="C13" s="43"/>
      <c r="D13" s="51">
        <f>ROUND(((D12-C12)/D12), 2)</f>
        <v>0.76</v>
      </c>
      <c r="E13" s="43"/>
      <c r="F13" s="51">
        <f>ROUND(((F12-E12)/F12), 2)</f>
        <v>0.19</v>
      </c>
      <c r="G13" s="43"/>
      <c r="H13" s="51">
        <f>ROUND(((H12-G12)/H12), 2)</f>
        <v>0.09</v>
      </c>
      <c r="I13" s="43"/>
      <c r="J13" s="51">
        <f>ROUND(((J12-I12)/J12), 2)</f>
        <v>0.54</v>
      </c>
      <c r="K13" s="43"/>
      <c r="L13" s="51">
        <f>ROUND(((L12-K12)/L12), 2)</f>
        <v>0.26</v>
      </c>
      <c r="M13" s="43"/>
      <c r="N13" s="51">
        <f>ROUND(((N12-M12)/N12), 2)</f>
        <v>7.0000000000000007E-2</v>
      </c>
      <c r="O13" s="43"/>
      <c r="P13" s="52">
        <f>ROUND(((P12-O12)/P12), 2)</f>
        <v>0.36</v>
      </c>
      <c r="R13" s="52">
        <f>ROUND(((R12-Q12)/R12), 2)</f>
        <v>-0.09</v>
      </c>
      <c r="T13" s="52">
        <f>ROUND(((T12-S12)/T12), 2)</f>
        <v>-0.03</v>
      </c>
      <c r="V13" s="52">
        <f>ROUND(((V12-U12)/V12), 2)</f>
        <v>0.7</v>
      </c>
      <c r="X13" s="52">
        <f>ROUND(((X12-W12)/X12), 2)</f>
        <v>0.83</v>
      </c>
      <c r="Z13" s="52">
        <f>ROUND(((Z12-Y12)/Z12), 2)</f>
        <v>0.34</v>
      </c>
      <c r="AB13" s="52">
        <f>ROUND(((AB12-AA12)/AB12), 2)</f>
        <v>-0.14000000000000001</v>
      </c>
      <c r="AD13" s="52">
        <f>ROUND(((AD12-AC12)/AD12), 2)</f>
        <v>0.1</v>
      </c>
      <c r="AF13" s="52">
        <f>ROUND(((AF12-AE12)/AF12), 2)</f>
        <v>0.49</v>
      </c>
      <c r="AH13" s="52">
        <f>ROUND(((AH12-AG12)/AH12), 2)</f>
        <v>7.0000000000000007E-2</v>
      </c>
      <c r="AJ13" s="52">
        <f>ROUND(((AJ12-AI12)/AJ12), 2)</f>
        <v>0.72</v>
      </c>
      <c r="AL13" s="52">
        <f>ROUND(((AL12-AK12)/AL12), 2)</f>
        <v>0.69</v>
      </c>
      <c r="AN13" s="52">
        <f>ROUND(((AN12-AM12)/AN12), 2)</f>
        <v>-0.76</v>
      </c>
      <c r="AP13" s="75">
        <f>ROUND(((AP12-AO12)/AP12), 2)</f>
        <v>-1.43</v>
      </c>
      <c r="AR13" s="75">
        <f>ROUND(((AR12-AQ12)/AR12), 2)</f>
        <v>0.19</v>
      </c>
    </row>
    <row r="14" spans="2:44" x14ac:dyDescent="0.25"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92"/>
      <c r="AO14" s="53"/>
      <c r="AP14" s="53"/>
      <c r="AQ14" s="83"/>
      <c r="AR14" s="83"/>
    </row>
    <row r="15" spans="2:44" ht="34.5" customHeight="1" x14ac:dyDescent="0.25">
      <c r="B15" s="44"/>
      <c r="C15" s="104">
        <v>43115</v>
      </c>
      <c r="D15" s="97"/>
      <c r="E15" s="102" t="str">
        <f>TEXT(C2+7,"dd/mm/yyyy")</f>
        <v>22/01/2018</v>
      </c>
      <c r="F15" s="97"/>
      <c r="G15" s="102" t="str">
        <f t="shared" ref="G15" si="26">TEXT(E2+7,"dd/mm/yyyy")</f>
        <v>29/01/2018</v>
      </c>
      <c r="H15" s="97"/>
      <c r="I15" s="102" t="str">
        <f t="shared" ref="I15" si="27">TEXT(G2+7,"dd/mm/yyyy")</f>
        <v>05/02/2018</v>
      </c>
      <c r="J15" s="97"/>
      <c r="K15" s="102" t="str">
        <f t="shared" ref="K15" si="28">TEXT(I2+7,"dd/mm/yyyy")</f>
        <v>12/02/2018</v>
      </c>
      <c r="L15" s="103"/>
      <c r="M15" s="97" t="str">
        <f t="shared" ref="M15" si="29">TEXT(K2+7,"dd/mm/yyyy")</f>
        <v>19/02/2018</v>
      </c>
      <c r="N15" s="103"/>
      <c r="O15" s="97" t="str">
        <f t="shared" ref="O15" si="30">TEXT(M2+7,"dd/mm/yyyy")</f>
        <v>26/02/2018</v>
      </c>
      <c r="P15" s="103"/>
      <c r="Q15" s="97" t="str">
        <f t="shared" ref="Q15" si="31">TEXT(O2+7,"dd/mm/yyyy")</f>
        <v>05/03/2018</v>
      </c>
      <c r="R15" s="103"/>
      <c r="S15" s="97" t="str">
        <f t="shared" ref="S15" si="32">TEXT(Q2+7,"dd/mm/yyyy")</f>
        <v>12/03/2018</v>
      </c>
      <c r="T15" s="106"/>
      <c r="U15" s="104" t="str">
        <f t="shared" ref="U15" si="33">TEXT(S2+7,"dd/mm/yyyy")</f>
        <v>19/03/2018</v>
      </c>
      <c r="V15" s="103"/>
      <c r="W15" s="97" t="str">
        <f t="shared" ref="W15" si="34">TEXT(U2+7,"dd/mm/yyyy")</f>
        <v>26/03/2018</v>
      </c>
      <c r="X15" s="103"/>
      <c r="Y15" s="97" t="str">
        <f t="shared" ref="Y15" si="35">TEXT(W2+7,"dd/mm/yyyy")</f>
        <v>02/04/2018</v>
      </c>
      <c r="Z15" s="97"/>
      <c r="AA15" s="102" t="str">
        <f t="shared" ref="AA15" si="36">TEXT(Y2+7,"dd/mm/yyyy")</f>
        <v>09/04/2018</v>
      </c>
      <c r="AB15" s="103"/>
      <c r="AC15" s="102" t="str">
        <f t="shared" ref="AC15" si="37">TEXT(AA2+7,"dd/mm/yyyy")</f>
        <v>16/04/2018</v>
      </c>
      <c r="AD15" s="103"/>
      <c r="AE15" s="102" t="str">
        <f t="shared" ref="AE15" si="38">TEXT(AC2+7,"dd/mm/yyyy")</f>
        <v>23/04/2018</v>
      </c>
      <c r="AF15" s="103"/>
      <c r="AG15" s="102" t="str">
        <f t="shared" ref="AG15" si="39">TEXT(AE2+7,"dd/mm/yyyy")</f>
        <v>30/04/2018</v>
      </c>
      <c r="AH15" s="103"/>
      <c r="AI15" s="102" t="str">
        <f t="shared" ref="AI15" si="40">TEXT(AG2+7,"dd/mm/yyyy")</f>
        <v>07/05/2018</v>
      </c>
      <c r="AJ15" s="103"/>
      <c r="AK15" s="102" t="str">
        <f t="shared" ref="AK15" si="41">TEXT(AI2+7,"dd/mm/yyyy")</f>
        <v>14/05/2018</v>
      </c>
      <c r="AL15" s="103"/>
      <c r="AM15" s="102" t="str">
        <f t="shared" ref="AM15" si="42">TEXT(AK2+7,"dd/mm/yyyy")</f>
        <v>21/05/2018</v>
      </c>
      <c r="AN15" s="103"/>
      <c r="AO15" s="97" t="str">
        <f t="shared" ref="AO15" si="43">TEXT(AM2+7,"dd/mm/yyyy")</f>
        <v>28/05/2018</v>
      </c>
      <c r="AP15" s="97"/>
      <c r="AQ15" s="105" t="s">
        <v>15</v>
      </c>
      <c r="AR15" s="105"/>
    </row>
    <row r="16" spans="2:44" ht="29.25" thickBot="1" x14ac:dyDescent="0.3">
      <c r="B16" s="45" t="s">
        <v>0</v>
      </c>
      <c r="C16" s="46" t="s">
        <v>4</v>
      </c>
      <c r="D16" s="47" t="s">
        <v>5</v>
      </c>
      <c r="E16" s="46" t="s">
        <v>4</v>
      </c>
      <c r="F16" s="47" t="s">
        <v>5</v>
      </c>
      <c r="G16" s="46" t="s">
        <v>4</v>
      </c>
      <c r="H16" s="47" t="s">
        <v>5</v>
      </c>
      <c r="I16" s="46" t="s">
        <v>4</v>
      </c>
      <c r="J16" s="47" t="s">
        <v>5</v>
      </c>
      <c r="K16" s="46" t="s">
        <v>4</v>
      </c>
      <c r="L16" s="47" t="s">
        <v>5</v>
      </c>
      <c r="M16" s="46" t="s">
        <v>4</v>
      </c>
      <c r="N16" s="47" t="s">
        <v>5</v>
      </c>
      <c r="O16" s="46" t="s">
        <v>4</v>
      </c>
      <c r="P16" s="54" t="s">
        <v>5</v>
      </c>
      <c r="Q16" s="46" t="s">
        <v>4</v>
      </c>
      <c r="R16" s="54" t="s">
        <v>5</v>
      </c>
      <c r="S16" s="46" t="s">
        <v>4</v>
      </c>
      <c r="T16" s="54" t="s">
        <v>5</v>
      </c>
      <c r="U16" s="46" t="s">
        <v>4</v>
      </c>
      <c r="V16" s="54" t="s">
        <v>5</v>
      </c>
      <c r="W16" s="46" t="s">
        <v>4</v>
      </c>
      <c r="X16" s="54" t="s">
        <v>5</v>
      </c>
      <c r="Y16" s="46" t="s">
        <v>4</v>
      </c>
      <c r="Z16" s="54" t="s">
        <v>5</v>
      </c>
      <c r="AA16" s="46" t="s">
        <v>4</v>
      </c>
      <c r="AB16" s="54" t="s">
        <v>5</v>
      </c>
      <c r="AC16" s="46" t="s">
        <v>4</v>
      </c>
      <c r="AD16" s="54" t="s">
        <v>5</v>
      </c>
      <c r="AE16" s="46" t="s">
        <v>4</v>
      </c>
      <c r="AF16" s="54" t="s">
        <v>5</v>
      </c>
      <c r="AG16" s="46" t="s">
        <v>4</v>
      </c>
      <c r="AH16" s="54" t="s">
        <v>5</v>
      </c>
      <c r="AI16" s="46" t="s">
        <v>4</v>
      </c>
      <c r="AJ16" s="54" t="s">
        <v>5</v>
      </c>
      <c r="AK16" s="46" t="s">
        <v>4</v>
      </c>
      <c r="AL16" s="54" t="s">
        <v>5</v>
      </c>
      <c r="AM16" s="46" t="s">
        <v>4</v>
      </c>
      <c r="AN16" s="54" t="s">
        <v>5</v>
      </c>
      <c r="AO16" s="70" t="s">
        <v>4</v>
      </c>
      <c r="AP16" s="76" t="s">
        <v>5</v>
      </c>
      <c r="AQ16" s="54" t="s">
        <v>4</v>
      </c>
      <c r="AR16" s="70" t="s">
        <v>4</v>
      </c>
    </row>
    <row r="17" spans="2:44" x14ac:dyDescent="0.25">
      <c r="B17" s="48" t="s">
        <v>12</v>
      </c>
      <c r="C17" s="14">
        <f>ROUND(C4*12.5, 2)</f>
        <v>25</v>
      </c>
      <c r="D17" s="15">
        <f>ROUND(D4*12.5, 2)</f>
        <v>84.38</v>
      </c>
      <c r="E17" s="16">
        <f t="shared" ref="E17:P17" si="44">ROUND(E4*12.5, 2)</f>
        <v>75</v>
      </c>
      <c r="F17" s="15">
        <f t="shared" si="44"/>
        <v>37.5</v>
      </c>
      <c r="G17" s="16">
        <f t="shared" si="44"/>
        <v>162.5</v>
      </c>
      <c r="H17" s="15">
        <f t="shared" si="44"/>
        <v>93.75</v>
      </c>
      <c r="I17" s="16">
        <f t="shared" si="44"/>
        <v>62.5</v>
      </c>
      <c r="J17" s="15">
        <f t="shared" si="44"/>
        <v>243.75</v>
      </c>
      <c r="K17" s="16">
        <f t="shared" si="44"/>
        <v>56.25</v>
      </c>
      <c r="L17" s="15">
        <f t="shared" si="44"/>
        <v>237.5</v>
      </c>
      <c r="M17" s="16">
        <f t="shared" si="44"/>
        <v>96.88</v>
      </c>
      <c r="N17" s="15">
        <f t="shared" si="44"/>
        <v>228.13</v>
      </c>
      <c r="O17" s="16">
        <f t="shared" si="44"/>
        <v>53.13</v>
      </c>
      <c r="P17" s="15">
        <f t="shared" si="44"/>
        <v>228.13</v>
      </c>
      <c r="Q17" s="17">
        <f>ROUND(Q4*12.5, 2)</f>
        <v>168.75</v>
      </c>
      <c r="R17" s="18">
        <f>ROUND(18.25*12.5, 2)</f>
        <v>228.13</v>
      </c>
      <c r="S17" s="19">
        <f>ROUND(2*12.5, 2)</f>
        <v>25</v>
      </c>
      <c r="T17" s="18">
        <f>ROUND(12*12.5, 2)</f>
        <v>150</v>
      </c>
      <c r="U17" s="19">
        <v>0</v>
      </c>
      <c r="V17" s="18">
        <f>ROUND(9*12.5, 2)</f>
        <v>112.5</v>
      </c>
      <c r="W17" s="19">
        <f>1*12.5</f>
        <v>12.5</v>
      </c>
      <c r="X17" s="18">
        <f>9*12.5</f>
        <v>112.5</v>
      </c>
      <c r="Y17" s="19">
        <v>0</v>
      </c>
      <c r="Z17" s="18">
        <f>9*12.5</f>
        <v>112.5</v>
      </c>
      <c r="AA17" s="20">
        <f>0</f>
        <v>0</v>
      </c>
      <c r="AB17" s="21">
        <f>ROUND(5.25*12.5, 2)</f>
        <v>65.63</v>
      </c>
      <c r="AC17" s="20">
        <f>ROUND(8.75*12.5, 2)</f>
        <v>109.38</v>
      </c>
      <c r="AD17" s="21">
        <f>6.5*12.5</f>
        <v>81.25</v>
      </c>
      <c r="AE17" s="20">
        <f>ROUND(1.5*12.5, 2)</f>
        <v>18.75</v>
      </c>
      <c r="AF17" s="21">
        <f>6.5*12.5</f>
        <v>81.25</v>
      </c>
      <c r="AG17" s="20">
        <f>ROUND(5.5*12.5, 2)</f>
        <v>68.75</v>
      </c>
      <c r="AH17" s="21">
        <f>6.5*12.5</f>
        <v>81.25</v>
      </c>
      <c r="AI17" s="20">
        <f>ROUND(12*12.5, 2)</f>
        <v>150</v>
      </c>
      <c r="AJ17" s="21">
        <f>ROUND(4*12.5, 2)</f>
        <v>50</v>
      </c>
      <c r="AK17" s="20">
        <f>ROUND(5.5*12.5, 2)</f>
        <v>68.75</v>
      </c>
      <c r="AL17" s="21">
        <f>ROUND(7.75*12.5, 2)</f>
        <v>96.88</v>
      </c>
      <c r="AM17" s="20">
        <f>ROUND(9.5*12.5, 2)</f>
        <v>118.75</v>
      </c>
      <c r="AN17" s="21">
        <f>ROUND(9.75*12.5, 2)</f>
        <v>121.88</v>
      </c>
      <c r="AO17" s="20">
        <f>ROUND(12*12.5, 2)</f>
        <v>150</v>
      </c>
      <c r="AP17" s="77">
        <f>ROUND(9.25*12.5, 2)</f>
        <v>115.63</v>
      </c>
      <c r="AQ17" s="84">
        <f>ROUND(113.75*12.5, 2)</f>
        <v>1421.88</v>
      </c>
      <c r="AR17" s="21">
        <f>ROUND(205*12.5, 2)</f>
        <v>2562.5</v>
      </c>
    </row>
    <row r="18" spans="2:44" x14ac:dyDescent="0.25">
      <c r="B18" s="49" t="s">
        <v>8</v>
      </c>
      <c r="C18" s="22">
        <f t="shared" ref="C18:P24" si="45">ROUND(C5*12.5, 2)</f>
        <v>56.25</v>
      </c>
      <c r="D18" s="23">
        <f t="shared" ref="D18:D24" si="46">ROUND(D5*12.5, 2)</f>
        <v>343.75</v>
      </c>
      <c r="E18" s="24">
        <f t="shared" si="45"/>
        <v>137.5</v>
      </c>
      <c r="F18" s="23">
        <f t="shared" si="45"/>
        <v>206.25</v>
      </c>
      <c r="G18" s="24">
        <f t="shared" si="45"/>
        <v>268.75</v>
      </c>
      <c r="H18" s="23">
        <f t="shared" si="45"/>
        <v>31.25</v>
      </c>
      <c r="I18" s="24">
        <f t="shared" si="45"/>
        <v>43.75</v>
      </c>
      <c r="J18" s="23">
        <f t="shared" si="45"/>
        <v>87.5</v>
      </c>
      <c r="K18" s="24">
        <f t="shared" si="45"/>
        <v>128.13</v>
      </c>
      <c r="L18" s="23">
        <f t="shared" si="45"/>
        <v>84.38</v>
      </c>
      <c r="M18" s="24">
        <f t="shared" si="45"/>
        <v>181.25</v>
      </c>
      <c r="N18" s="23">
        <f t="shared" si="45"/>
        <v>90.63</v>
      </c>
      <c r="O18" s="24">
        <f t="shared" si="45"/>
        <v>81.25</v>
      </c>
      <c r="P18" s="23">
        <f t="shared" si="45"/>
        <v>90.63</v>
      </c>
      <c r="Q18" s="25">
        <f t="shared" ref="Q18" si="47">ROUND(Q5*12.5, 2)</f>
        <v>162.5</v>
      </c>
      <c r="R18" s="26">
        <f>ROUND(7.25*12.5, 2)</f>
        <v>90.63</v>
      </c>
      <c r="S18" s="27">
        <f>ROUND(2.5*12.5, 2)</f>
        <v>31.25</v>
      </c>
      <c r="T18" s="26">
        <f>ROUND(6.75*12.5, 2)</f>
        <v>84.38</v>
      </c>
      <c r="U18" s="27">
        <v>0</v>
      </c>
      <c r="V18" s="26">
        <f>ROUND(3*12.5, 2)</f>
        <v>37.5</v>
      </c>
      <c r="W18" s="28">
        <v>0</v>
      </c>
      <c r="X18" s="26">
        <f>3*12.5</f>
        <v>37.5</v>
      </c>
      <c r="Y18" s="28">
        <f>5*12.5</f>
        <v>62.5</v>
      </c>
      <c r="Z18" s="26">
        <f>3*12.5</f>
        <v>37.5</v>
      </c>
      <c r="AA18" s="29">
        <f>7*12.5</f>
        <v>87.5</v>
      </c>
      <c r="AB18" s="30">
        <f>3*12.5</f>
        <v>37.5</v>
      </c>
      <c r="AC18" s="29">
        <f>ROUND(9.5*12.5, 2)</f>
        <v>118.75</v>
      </c>
      <c r="AD18" s="30">
        <f>5*12.5</f>
        <v>62.5</v>
      </c>
      <c r="AE18" s="29">
        <f>ROUND(5*12.5, 2)</f>
        <v>62.5</v>
      </c>
      <c r="AF18" s="30">
        <f>5*12.5</f>
        <v>62.5</v>
      </c>
      <c r="AG18" s="29">
        <f>ROUND(2*12.5, 2)</f>
        <v>25</v>
      </c>
      <c r="AH18" s="30">
        <f>5*12.5</f>
        <v>62.5</v>
      </c>
      <c r="AI18" s="29">
        <f>ROUND(7.25*12.5, 2)</f>
        <v>90.63</v>
      </c>
      <c r="AJ18" s="30">
        <f>ROUND(14*12.5, 2)</f>
        <v>175</v>
      </c>
      <c r="AK18" s="29">
        <f>ROUND(0*12.5, 2)</f>
        <v>0</v>
      </c>
      <c r="AL18" s="30">
        <f>ROUND(2*12.5, 2)</f>
        <v>25</v>
      </c>
      <c r="AM18" s="29">
        <f>ROUND(9.5*12.5, 2)</f>
        <v>118.75</v>
      </c>
      <c r="AN18" s="30">
        <f>ROUND(6.75*12.5, 2)</f>
        <v>84.38</v>
      </c>
      <c r="AO18" s="29">
        <f>ROUND(22.25*12.5, 2)</f>
        <v>278.13</v>
      </c>
      <c r="AP18" s="78">
        <f>ROUND(24.75*12.5, 2)</f>
        <v>309.38</v>
      </c>
      <c r="AQ18" s="85">
        <f>ROUND(154.75*12.5, 2)</f>
        <v>1934.38</v>
      </c>
      <c r="AR18" s="30">
        <f>ROUND(163.25*12.5, 2)</f>
        <v>2040.63</v>
      </c>
    </row>
    <row r="19" spans="2:44" x14ac:dyDescent="0.25">
      <c r="B19" s="49" t="s">
        <v>9</v>
      </c>
      <c r="C19" s="22">
        <f t="shared" si="45"/>
        <v>50</v>
      </c>
      <c r="D19" s="23">
        <f t="shared" si="46"/>
        <v>287.5</v>
      </c>
      <c r="E19" s="24">
        <f t="shared" si="45"/>
        <v>125</v>
      </c>
      <c r="F19" s="23">
        <f t="shared" si="45"/>
        <v>96.88</v>
      </c>
      <c r="G19" s="24">
        <f t="shared" si="45"/>
        <v>93.75</v>
      </c>
      <c r="H19" s="23">
        <f t="shared" si="45"/>
        <v>131.25</v>
      </c>
      <c r="I19" s="24">
        <f t="shared" si="45"/>
        <v>206.25</v>
      </c>
      <c r="J19" s="23">
        <f t="shared" si="45"/>
        <v>328.13</v>
      </c>
      <c r="K19" s="24">
        <f t="shared" si="45"/>
        <v>221.88</v>
      </c>
      <c r="L19" s="23">
        <f t="shared" si="45"/>
        <v>328.13</v>
      </c>
      <c r="M19" s="24">
        <f t="shared" si="45"/>
        <v>437.5</v>
      </c>
      <c r="N19" s="23">
        <f t="shared" si="45"/>
        <v>340.63</v>
      </c>
      <c r="O19" s="24">
        <f t="shared" si="45"/>
        <v>334.38</v>
      </c>
      <c r="P19" s="23">
        <f t="shared" si="45"/>
        <v>340.63</v>
      </c>
      <c r="Q19" s="25">
        <f t="shared" ref="Q19" si="48">ROUND(Q6*12.5, 2)</f>
        <v>496.88</v>
      </c>
      <c r="R19" s="26">
        <f>ROUND(27.25*12.5, 2)</f>
        <v>340.63</v>
      </c>
      <c r="S19" s="28">
        <f>ROUND(34*12.5, 2)</f>
        <v>425</v>
      </c>
      <c r="T19" s="26">
        <f>ROUND(28.25*12.5, 2)</f>
        <v>353.13</v>
      </c>
      <c r="U19" s="28">
        <v>0</v>
      </c>
      <c r="V19" s="26">
        <f>ROUND(30*12.5, 2)</f>
        <v>375</v>
      </c>
      <c r="W19" s="28">
        <v>0</v>
      </c>
      <c r="X19" s="26">
        <f>30*12.5</f>
        <v>375</v>
      </c>
      <c r="Y19" s="28">
        <f>ROUND(3.75*12.5, 2)</f>
        <v>46.88</v>
      </c>
      <c r="Z19" s="26">
        <f>30*12.5</f>
        <v>375</v>
      </c>
      <c r="AA19" s="29">
        <f>19*12.5</f>
        <v>237.5</v>
      </c>
      <c r="AB19" s="30">
        <f>2*12.5</f>
        <v>25</v>
      </c>
      <c r="AC19" s="29">
        <f>ROUND(6*12.5, 2)</f>
        <v>75</v>
      </c>
      <c r="AD19" s="30">
        <f>2*12.5</f>
        <v>25</v>
      </c>
      <c r="AE19" s="29">
        <f>ROUND(4.5*12.5, 2)</f>
        <v>56.25</v>
      </c>
      <c r="AF19" s="30">
        <f>2*12.5</f>
        <v>25</v>
      </c>
      <c r="AG19" s="29">
        <f>ROUND(3.5*12.5, 2)</f>
        <v>43.75</v>
      </c>
      <c r="AH19" s="30">
        <f>2*12.5</f>
        <v>25</v>
      </c>
      <c r="AI19" s="29">
        <f>ROUND(0.75*12.5, 2)</f>
        <v>9.3800000000000008</v>
      </c>
      <c r="AJ19" s="30">
        <f>ROUND(20*12.5, 2)</f>
        <v>250</v>
      </c>
      <c r="AK19" s="29">
        <f>ROUND(5.25*12.5, 2)</f>
        <v>65.63</v>
      </c>
      <c r="AL19" s="30">
        <f>ROUND(7.5*12.5, 2)</f>
        <v>93.75</v>
      </c>
      <c r="AM19" s="29">
        <f>ROUND(37*12.5, 2)</f>
        <v>462.5</v>
      </c>
      <c r="AN19" s="30">
        <f>ROUND(9.5*12.5, 2)</f>
        <v>118.75</v>
      </c>
      <c r="AO19" s="29">
        <f>ROUND(40.75*12.5, 2)</f>
        <v>509.38</v>
      </c>
      <c r="AP19" s="78">
        <f>ROUND(9*12.5, 2)</f>
        <v>112.5</v>
      </c>
      <c r="AQ19" s="85">
        <f>ROUND(311.75*12.5, 2)</f>
        <v>3896.88</v>
      </c>
      <c r="AR19" s="30">
        <f>ROUND(347.75*12.5, 2)</f>
        <v>4346.88</v>
      </c>
    </row>
    <row r="20" spans="2:44" x14ac:dyDescent="0.25">
      <c r="B20" s="49" t="s">
        <v>10</v>
      </c>
      <c r="C20" s="22">
        <f t="shared" si="45"/>
        <v>25</v>
      </c>
      <c r="D20" s="23">
        <f t="shared" si="46"/>
        <v>171.88</v>
      </c>
      <c r="E20" s="24">
        <f t="shared" si="45"/>
        <v>153.13</v>
      </c>
      <c r="F20" s="23">
        <f t="shared" si="45"/>
        <v>171.88</v>
      </c>
      <c r="G20" s="24">
        <f t="shared" si="45"/>
        <v>131.25</v>
      </c>
      <c r="H20" s="23">
        <f t="shared" si="45"/>
        <v>181.25</v>
      </c>
      <c r="I20" s="24">
        <f t="shared" si="45"/>
        <v>115.63</v>
      </c>
      <c r="J20" s="23">
        <f t="shared" si="45"/>
        <v>121.88</v>
      </c>
      <c r="K20" s="24">
        <f t="shared" si="45"/>
        <v>168.75</v>
      </c>
      <c r="L20" s="23">
        <f t="shared" si="45"/>
        <v>118.75</v>
      </c>
      <c r="M20" s="24">
        <f t="shared" si="45"/>
        <v>53.13</v>
      </c>
      <c r="N20" s="23">
        <f t="shared" si="45"/>
        <v>106.25</v>
      </c>
      <c r="O20" s="24">
        <f t="shared" si="45"/>
        <v>112.5</v>
      </c>
      <c r="P20" s="23">
        <f t="shared" si="45"/>
        <v>106.25</v>
      </c>
      <c r="Q20" s="25">
        <f t="shared" ref="Q20" si="49">ROUND(Q7*12.5, 2)</f>
        <v>93.75</v>
      </c>
      <c r="R20" s="26">
        <f>ROUND(8.5*12.5, 2)</f>
        <v>106.25</v>
      </c>
      <c r="S20" s="28">
        <f>ROUND(13*12.5, 2)</f>
        <v>162.5</v>
      </c>
      <c r="T20" s="26">
        <f>ROUND(8.5*12.5, 2)</f>
        <v>106.25</v>
      </c>
      <c r="U20" s="28">
        <v>0</v>
      </c>
      <c r="V20" s="26">
        <f>ROUND(3*12.5, 2)</f>
        <v>37.5</v>
      </c>
      <c r="W20" s="27">
        <v>0</v>
      </c>
      <c r="X20" s="26">
        <f>3*12.5</f>
        <v>37.5</v>
      </c>
      <c r="Y20" s="28">
        <f>2*12.5</f>
        <v>25</v>
      </c>
      <c r="Z20" s="26">
        <f>3*12.5</f>
        <v>37.5</v>
      </c>
      <c r="AA20" s="29">
        <f>0</f>
        <v>0</v>
      </c>
      <c r="AB20" s="30">
        <f>3*12.5</f>
        <v>37.5</v>
      </c>
      <c r="AC20" s="29">
        <f>ROUND(0*12.5, 2)</f>
        <v>0</v>
      </c>
      <c r="AD20" s="30">
        <f>5*12.5</f>
        <v>62.5</v>
      </c>
      <c r="AE20" s="29">
        <f>ROUND(0*12.5, 2)</f>
        <v>0</v>
      </c>
      <c r="AF20" s="30">
        <f>5*12.5</f>
        <v>62.5</v>
      </c>
      <c r="AG20" s="29">
        <f>ROUND(0.5*12.5, 2)</f>
        <v>6.25</v>
      </c>
      <c r="AH20" s="30">
        <f>5*12.5</f>
        <v>62.5</v>
      </c>
      <c r="AI20" s="29">
        <f>ROUND(0.75*12.5, 2)</f>
        <v>9.3800000000000008</v>
      </c>
      <c r="AJ20" s="30">
        <f>ROUND(4.25*12.5, 2)</f>
        <v>53.13</v>
      </c>
      <c r="AK20" s="29">
        <f>ROUND(3*12.5, 2)</f>
        <v>37.5</v>
      </c>
      <c r="AL20" s="30">
        <f>ROUND(6.25*12.5, 2)</f>
        <v>78.13</v>
      </c>
      <c r="AM20" s="29">
        <f>ROUND(10.75*12.5, 2)</f>
        <v>134.38</v>
      </c>
      <c r="AN20" s="30">
        <f>ROUND(8.25*12.5, 2)</f>
        <v>103.13</v>
      </c>
      <c r="AO20" s="29">
        <f>ROUND(16*12.5, 2)</f>
        <v>200</v>
      </c>
      <c r="AP20" s="78">
        <f>ROUND(8.25*12.5, 2)</f>
        <v>103.13</v>
      </c>
      <c r="AQ20" s="85">
        <f>ROUND(114.25*12.5, 2)</f>
        <v>1428.13</v>
      </c>
      <c r="AR20" s="30">
        <f>ROUND(149.25*12.5, 2)</f>
        <v>1865.63</v>
      </c>
    </row>
    <row r="21" spans="2:44" x14ac:dyDescent="0.25">
      <c r="B21" s="49" t="s">
        <v>13</v>
      </c>
      <c r="C21" s="22">
        <f t="shared" si="45"/>
        <v>25</v>
      </c>
      <c r="D21" s="23">
        <f t="shared" si="46"/>
        <v>50</v>
      </c>
      <c r="E21" s="24">
        <f t="shared" si="45"/>
        <v>93.75</v>
      </c>
      <c r="F21" s="23">
        <f t="shared" si="45"/>
        <v>25</v>
      </c>
      <c r="G21" s="24">
        <f t="shared" si="45"/>
        <v>37.5</v>
      </c>
      <c r="H21" s="23">
        <f t="shared" si="45"/>
        <v>12.5</v>
      </c>
      <c r="I21" s="24">
        <f t="shared" si="45"/>
        <v>50</v>
      </c>
      <c r="J21" s="23">
        <f t="shared" si="45"/>
        <v>212.5</v>
      </c>
      <c r="K21" s="24">
        <f t="shared" si="45"/>
        <v>56.25</v>
      </c>
      <c r="L21" s="23">
        <f t="shared" si="45"/>
        <v>212.5</v>
      </c>
      <c r="M21" s="24">
        <f t="shared" si="45"/>
        <v>87.5</v>
      </c>
      <c r="N21" s="23">
        <f t="shared" si="45"/>
        <v>225</v>
      </c>
      <c r="O21" s="24">
        <f t="shared" si="45"/>
        <v>37.5</v>
      </c>
      <c r="P21" s="23">
        <f t="shared" si="45"/>
        <v>225</v>
      </c>
      <c r="Q21" s="25">
        <f t="shared" ref="Q21" si="50">ROUND(Q8*12.5, 2)</f>
        <v>206.25</v>
      </c>
      <c r="R21" s="31">
        <f>ROUND(18*12.5, 2)</f>
        <v>225</v>
      </c>
      <c r="S21" s="32">
        <f>ROUND(8.25*12.5, 2)</f>
        <v>103.13</v>
      </c>
      <c r="T21" s="31">
        <f>ROUND(18*12.5, 2)</f>
        <v>225</v>
      </c>
      <c r="U21" s="32">
        <f>6*12.5</f>
        <v>75</v>
      </c>
      <c r="V21" s="31">
        <f>ROUND(7*12.5, 2)</f>
        <v>87.5</v>
      </c>
      <c r="W21" s="32">
        <f>6*12.5</f>
        <v>75</v>
      </c>
      <c r="X21" s="31">
        <f>7*12.5</f>
        <v>87.5</v>
      </c>
      <c r="Y21" s="27">
        <f>6*12.5</f>
        <v>75</v>
      </c>
      <c r="Z21" s="31">
        <f>7*12.5</f>
        <v>87.5</v>
      </c>
      <c r="AA21" s="29">
        <f>6*12.5</f>
        <v>75</v>
      </c>
      <c r="AB21" s="30">
        <f>7*12.5</f>
        <v>87.5</v>
      </c>
      <c r="AC21" s="29">
        <f>ROUND(4.5*12.5, 2)</f>
        <v>56.25</v>
      </c>
      <c r="AD21" s="30">
        <f>9*12.5</f>
        <v>112.5</v>
      </c>
      <c r="AE21" s="29">
        <f>ROUND(0*12.5, 2)</f>
        <v>0</v>
      </c>
      <c r="AF21" s="30">
        <f>9*12.5</f>
        <v>112.5</v>
      </c>
      <c r="AG21" s="29">
        <f>ROUND(2*12.5, 2)</f>
        <v>25</v>
      </c>
      <c r="AH21" s="30">
        <f>9*12.5</f>
        <v>112.5</v>
      </c>
      <c r="AI21" s="29">
        <f>ROUND(0.75*12.5, 2)</f>
        <v>9.3800000000000008</v>
      </c>
      <c r="AJ21" s="30">
        <f>ROUND(7.75*12.5, 2)</f>
        <v>96.88</v>
      </c>
      <c r="AK21" s="29">
        <f>ROUND(3*12.5, 2)</f>
        <v>37.5</v>
      </c>
      <c r="AL21" s="30">
        <f>ROUND(2*12.5, 2)</f>
        <v>25</v>
      </c>
      <c r="AM21" s="29">
        <f>ROUND(19.5*12.5, 2)</f>
        <v>243.75</v>
      </c>
      <c r="AN21" s="30">
        <f>ROUND(2*12.5, 2)</f>
        <v>25</v>
      </c>
      <c r="AO21" s="29">
        <f>ROUND(39*12.5, 2)</f>
        <v>487.5</v>
      </c>
      <c r="AP21" s="78">
        <f>ROUND(2*12.5, 2)</f>
        <v>25</v>
      </c>
      <c r="AQ21" s="85">
        <f>ROUND(148.5*12.5, 2)</f>
        <v>1856.25</v>
      </c>
      <c r="AR21" s="36">
        <f>ROUND(181.75*12.5, 2)</f>
        <v>2271.88</v>
      </c>
    </row>
    <row r="22" spans="2:44" x14ac:dyDescent="0.25">
      <c r="B22" s="49" t="s">
        <v>7</v>
      </c>
      <c r="C22" s="22">
        <f t="shared" si="45"/>
        <v>25</v>
      </c>
      <c r="D22" s="23">
        <f t="shared" si="46"/>
        <v>131.25</v>
      </c>
      <c r="E22" s="24">
        <f t="shared" si="45"/>
        <v>37.5</v>
      </c>
      <c r="F22" s="23">
        <f t="shared" si="45"/>
        <v>25</v>
      </c>
      <c r="G22" s="24">
        <f t="shared" si="45"/>
        <v>134.38</v>
      </c>
      <c r="H22" s="23">
        <f t="shared" si="45"/>
        <v>200</v>
      </c>
      <c r="I22" s="24">
        <f t="shared" si="45"/>
        <v>59.38</v>
      </c>
      <c r="J22" s="23">
        <f t="shared" si="45"/>
        <v>375</v>
      </c>
      <c r="K22" s="24">
        <f t="shared" si="45"/>
        <v>231.25</v>
      </c>
      <c r="L22" s="23">
        <f t="shared" si="45"/>
        <v>381.25</v>
      </c>
      <c r="M22" s="24">
        <f t="shared" si="45"/>
        <v>165.63</v>
      </c>
      <c r="N22" s="23">
        <f t="shared" si="45"/>
        <v>256.25</v>
      </c>
      <c r="O22" s="24">
        <f t="shared" si="45"/>
        <v>31.25</v>
      </c>
      <c r="P22" s="23">
        <f t="shared" si="45"/>
        <v>256.25</v>
      </c>
      <c r="Q22" s="25">
        <f t="shared" ref="Q22" si="51">ROUND(Q9*12.5, 2)</f>
        <v>37.5</v>
      </c>
      <c r="R22" s="33">
        <f>ROUND(20.5*12.5, 2)</f>
        <v>256.25</v>
      </c>
      <c r="S22" s="34">
        <f>ROUND(23.5*12.5, 2)</f>
        <v>293.75</v>
      </c>
      <c r="T22" s="33">
        <f>ROUND(18.75*12.5, 2)</f>
        <v>234.38</v>
      </c>
      <c r="U22" s="34">
        <f>ROUND(11.75*12.5, 2)</f>
        <v>146.88</v>
      </c>
      <c r="V22" s="33">
        <f>ROUND(10.25*12.5, 2)</f>
        <v>128.13</v>
      </c>
      <c r="W22" s="34">
        <f>ROUND(4.25*12.5, 2)</f>
        <v>53.13</v>
      </c>
      <c r="X22" s="33">
        <f>ROUND(10.25*12.5, 2)</f>
        <v>128.13</v>
      </c>
      <c r="Y22" s="34">
        <f>ROUND(24.25*12.5, 2)</f>
        <v>303.13</v>
      </c>
      <c r="Z22" s="33">
        <f>ROUND(10.25*12.5, 2)</f>
        <v>128.13</v>
      </c>
      <c r="AA22" s="35">
        <f>ROUND(6.25*12.5, 2)</f>
        <v>78.13</v>
      </c>
      <c r="AB22" s="36">
        <f>ROUND(10.25*12.5, 2)</f>
        <v>128.13</v>
      </c>
      <c r="AC22" s="35">
        <f>ROUND(1*12.5, 2)</f>
        <v>12.5</v>
      </c>
      <c r="AD22" s="36">
        <f>ROUND(12.25*12.5, 2)</f>
        <v>153.13</v>
      </c>
      <c r="AE22" s="35">
        <f>ROUND(0*12.5, 2)</f>
        <v>0</v>
      </c>
      <c r="AF22" s="36">
        <f>ROUND(12.25*12.5, 2)</f>
        <v>153.13</v>
      </c>
      <c r="AG22" s="35">
        <f>ROUND(0*12.5, 2)</f>
        <v>0</v>
      </c>
      <c r="AH22" s="36">
        <f>ROUND(12.25*12.5, 2)</f>
        <v>153.13</v>
      </c>
      <c r="AI22" s="35">
        <f>ROUND(0.75*12.5, 2)</f>
        <v>9.3800000000000008</v>
      </c>
      <c r="AJ22" s="36">
        <f>ROUND(11*12.5, 2)</f>
        <v>137.5</v>
      </c>
      <c r="AK22" s="35">
        <f>ROUND(0*12.5, 2)</f>
        <v>0</v>
      </c>
      <c r="AL22" s="36">
        <f>ROUND(7.5*12.5, 2)</f>
        <v>93.75</v>
      </c>
      <c r="AM22" s="35">
        <f>ROUND(4.75*12.5, 2)</f>
        <v>59.38</v>
      </c>
      <c r="AN22" s="36">
        <f>ROUND(14*12.5, 2)</f>
        <v>175</v>
      </c>
      <c r="AO22" s="35">
        <f>ROUND(13*12.5, 2)</f>
        <v>162.5</v>
      </c>
      <c r="AP22" s="79">
        <f>ROUND(31.75*12.5, 2)</f>
        <v>396.88</v>
      </c>
      <c r="AQ22" s="86">
        <f>ROUND(147.25*12.5, 2)</f>
        <v>1840.63</v>
      </c>
      <c r="AR22" s="30">
        <f>ROUND(311.25*12.5, 2)</f>
        <v>3890.63</v>
      </c>
    </row>
    <row r="23" spans="2:44" x14ac:dyDescent="0.25">
      <c r="B23" s="49" t="s">
        <v>11</v>
      </c>
      <c r="C23" s="22">
        <f t="shared" si="45"/>
        <v>62.5</v>
      </c>
      <c r="D23" s="23">
        <f t="shared" si="46"/>
        <v>150</v>
      </c>
      <c r="E23" s="24">
        <f t="shared" si="45"/>
        <v>165.63</v>
      </c>
      <c r="F23" s="23">
        <f t="shared" si="45"/>
        <v>381.25</v>
      </c>
      <c r="G23" s="24">
        <f t="shared" si="45"/>
        <v>337.5</v>
      </c>
      <c r="H23" s="23">
        <f t="shared" si="45"/>
        <v>475</v>
      </c>
      <c r="I23" s="24">
        <f t="shared" si="45"/>
        <v>290.63</v>
      </c>
      <c r="J23" s="23">
        <f t="shared" si="45"/>
        <v>406.25</v>
      </c>
      <c r="K23" s="24">
        <f t="shared" si="45"/>
        <v>396.88</v>
      </c>
      <c r="L23" s="23">
        <f t="shared" si="45"/>
        <v>390.63</v>
      </c>
      <c r="M23" s="24">
        <f t="shared" si="45"/>
        <v>356.25</v>
      </c>
      <c r="N23" s="23">
        <f t="shared" si="45"/>
        <v>281.25</v>
      </c>
      <c r="O23" s="24">
        <f t="shared" si="45"/>
        <v>287.5</v>
      </c>
      <c r="P23" s="23">
        <f t="shared" si="45"/>
        <v>343.75</v>
      </c>
      <c r="Q23" s="25">
        <f t="shared" ref="Q23" si="52">ROUND(Q10*12.5, 2)</f>
        <v>562.5</v>
      </c>
      <c r="R23" s="26">
        <f>ROUND(24.75*12.5, 2)</f>
        <v>309.38</v>
      </c>
      <c r="S23" s="28">
        <f>ROUND(25.5*12.5, 2)</f>
        <v>318.75</v>
      </c>
      <c r="T23" s="26">
        <f>ROUND(13.5*12.5, 2)</f>
        <v>168.75</v>
      </c>
      <c r="U23" s="28">
        <f>ROUND(0.5*12.5, 2)</f>
        <v>6.25</v>
      </c>
      <c r="V23" s="26">
        <f>ROUND(11*12.5, 2)</f>
        <v>137.5</v>
      </c>
      <c r="W23" s="28">
        <f>ROUND(1.25*12.5, 2)</f>
        <v>15.63</v>
      </c>
      <c r="X23" s="26">
        <f>10*12.5</f>
        <v>125</v>
      </c>
      <c r="Y23" s="28">
        <f>5.25*12.5</f>
        <v>65.625</v>
      </c>
      <c r="Z23" s="26">
        <f>5*12.5</f>
        <v>62.5</v>
      </c>
      <c r="AA23" s="29">
        <f>5.5*12.5</f>
        <v>68.75</v>
      </c>
      <c r="AB23" s="30">
        <f>5*12.5</f>
        <v>62.5</v>
      </c>
      <c r="AC23" s="29">
        <f>ROUND(4.75*12.5, 2)</f>
        <v>59.38</v>
      </c>
      <c r="AD23" s="30">
        <f>7*12.5</f>
        <v>87.5</v>
      </c>
      <c r="AE23" s="29">
        <f>ROUND(6*12.5, 2)</f>
        <v>75</v>
      </c>
      <c r="AF23" s="30">
        <f>7*12.5</f>
        <v>87.5</v>
      </c>
      <c r="AG23" s="29">
        <f>ROUND(23.5*12.5, 2)</f>
        <v>293.75</v>
      </c>
      <c r="AH23" s="30">
        <f>7*12.5</f>
        <v>87.5</v>
      </c>
      <c r="AI23" s="29">
        <f>ROUND(1*12.5, 2)</f>
        <v>12.5</v>
      </c>
      <c r="AJ23" s="30">
        <f>ROUND(22.25*12.5, 2)</f>
        <v>278.13</v>
      </c>
      <c r="AK23" s="29">
        <f>ROUND(4.75*12.5, 2)</f>
        <v>59.38</v>
      </c>
      <c r="AL23" s="30">
        <f>ROUND(22.25*12.5, 2)</f>
        <v>278.13</v>
      </c>
      <c r="AM23" s="29">
        <f>ROUND(32.25*12.5, 2)</f>
        <v>403.13</v>
      </c>
      <c r="AN23" s="30">
        <f>ROUND(18*12.5, 2)</f>
        <v>225</v>
      </c>
      <c r="AO23" s="29">
        <f>ROUND(61.5*12.5, 2)</f>
        <v>768.75</v>
      </c>
      <c r="AP23" s="78">
        <f>ROUND(2*12.5, 2)</f>
        <v>25</v>
      </c>
      <c r="AQ23" s="85">
        <f>ROUND(368.5*12.5, 2)</f>
        <v>4606.25</v>
      </c>
      <c r="AR23" s="38">
        <f>ROUND(349*12.5, 2)</f>
        <v>4362.5</v>
      </c>
    </row>
    <row r="24" spans="2:44" x14ac:dyDescent="0.25">
      <c r="B24" s="49" t="s">
        <v>14</v>
      </c>
      <c r="C24" s="22">
        <f t="shared" si="45"/>
        <v>62.5</v>
      </c>
      <c r="D24" s="23">
        <f t="shared" si="46"/>
        <v>156.25</v>
      </c>
      <c r="E24" s="24">
        <f t="shared" si="45"/>
        <v>100</v>
      </c>
      <c r="F24" s="23">
        <f t="shared" si="45"/>
        <v>156.25</v>
      </c>
      <c r="G24" s="24">
        <f t="shared" si="45"/>
        <v>68.75</v>
      </c>
      <c r="H24" s="23">
        <f t="shared" si="45"/>
        <v>231.25</v>
      </c>
      <c r="I24" s="24">
        <f t="shared" si="45"/>
        <v>75</v>
      </c>
      <c r="J24" s="23">
        <f t="shared" si="45"/>
        <v>171.88</v>
      </c>
      <c r="K24" s="24">
        <f t="shared" si="45"/>
        <v>162.5</v>
      </c>
      <c r="L24" s="23">
        <f t="shared" si="45"/>
        <v>156.25</v>
      </c>
      <c r="M24" s="24">
        <f t="shared" si="45"/>
        <v>143.75</v>
      </c>
      <c r="N24" s="23">
        <f t="shared" si="45"/>
        <v>109.38</v>
      </c>
      <c r="O24" s="24">
        <f t="shared" si="45"/>
        <v>156.25</v>
      </c>
      <c r="P24" s="23">
        <f t="shared" si="45"/>
        <v>109.38</v>
      </c>
      <c r="Q24" s="25">
        <f t="shared" ref="Q24" si="53">ROUND(Q11*12.5, 2)</f>
        <v>93.75</v>
      </c>
      <c r="R24" s="31">
        <f>ROUND(8.75*12.5, 2)</f>
        <v>109.38</v>
      </c>
      <c r="S24" s="32">
        <f>ROUND(8.5*12.5, 2)</f>
        <v>106.25</v>
      </c>
      <c r="T24" s="31">
        <f>ROUND(8*12.5, 2)</f>
        <v>100</v>
      </c>
      <c r="U24" s="32">
        <f>ROUND(5*12.5, 2)</f>
        <v>62.5</v>
      </c>
      <c r="V24" s="31">
        <f>ROUND(3*12.5, 2)</f>
        <v>37.5</v>
      </c>
      <c r="W24" s="27">
        <v>0</v>
      </c>
      <c r="X24" s="31">
        <f>3*12.5</f>
        <v>37.5</v>
      </c>
      <c r="Y24" s="32">
        <v>0</v>
      </c>
      <c r="Z24" s="31">
        <f>3*12.5</f>
        <v>37.5</v>
      </c>
      <c r="AA24" s="37">
        <v>0</v>
      </c>
      <c r="AB24" s="38">
        <f>3*12.5</f>
        <v>37.5</v>
      </c>
      <c r="AC24" s="37">
        <f>ROUND(12*12.5, 2)</f>
        <v>150</v>
      </c>
      <c r="AD24" s="38">
        <f>5*12.5</f>
        <v>62.5</v>
      </c>
      <c r="AE24" s="37">
        <f>ROUND(9.25*12.5, 2)</f>
        <v>115.63</v>
      </c>
      <c r="AF24" s="38">
        <f>5*12.5</f>
        <v>62.5</v>
      </c>
      <c r="AG24" s="37">
        <f>ROUND(11*12.5, 2)</f>
        <v>137.5</v>
      </c>
      <c r="AH24" s="38">
        <f>5*12.5</f>
        <v>62.5</v>
      </c>
      <c r="AI24" s="37">
        <f>ROUND(2.75*12.5, 2)</f>
        <v>34.380000000000003</v>
      </c>
      <c r="AJ24" s="38">
        <f>ROUND(9*12.5, 2)</f>
        <v>112.5</v>
      </c>
      <c r="AK24" s="37">
        <f>ROUND(0*12.5, 2)</f>
        <v>0</v>
      </c>
      <c r="AL24" s="38">
        <f>ROUND(15*12.5, 2)</f>
        <v>187.5</v>
      </c>
      <c r="AM24" s="37">
        <f>ROUND(27*12.5, 2)</f>
        <v>337.5</v>
      </c>
      <c r="AN24" s="38">
        <f>ROUND(17*12.5, 2)</f>
        <v>212.5</v>
      </c>
      <c r="AO24" s="37">
        <f>ROUND(37.75*12.5, 2)</f>
        <v>471.88</v>
      </c>
      <c r="AP24" s="80">
        <f>ROUND(12.5*12.5, 2)</f>
        <v>156.25</v>
      </c>
      <c r="AQ24" s="87">
        <f>ROUND(182.25*12.5, 2)</f>
        <v>2278.13</v>
      </c>
      <c r="AR24" s="38">
        <f>ROUND(184.5*12.5, 2)</f>
        <v>2306.25</v>
      </c>
    </row>
    <row r="25" spans="2:44" x14ac:dyDescent="0.25">
      <c r="B25" s="50" t="s">
        <v>3</v>
      </c>
      <c r="C25" s="22">
        <f>ROUND(SUM(C17:C24), 2)</f>
        <v>331.25</v>
      </c>
      <c r="D25" s="23">
        <f>ROUND(SUM(D17:D24), 2)</f>
        <v>1375.01</v>
      </c>
      <c r="E25" s="24">
        <f t="shared" ref="E25:AA25" si="54">ROUND(SUM(E17:E24), 2)</f>
        <v>887.51</v>
      </c>
      <c r="F25" s="23">
        <f t="shared" si="54"/>
        <v>1100.01</v>
      </c>
      <c r="G25" s="24">
        <f t="shared" si="54"/>
        <v>1234.3800000000001</v>
      </c>
      <c r="H25" s="23">
        <f t="shared" si="54"/>
        <v>1356.25</v>
      </c>
      <c r="I25" s="24">
        <f t="shared" si="54"/>
        <v>903.14</v>
      </c>
      <c r="J25" s="23">
        <f t="shared" si="54"/>
        <v>1946.89</v>
      </c>
      <c r="K25" s="24">
        <f t="shared" si="54"/>
        <v>1421.89</v>
      </c>
      <c r="L25" s="23">
        <f t="shared" si="54"/>
        <v>1909.39</v>
      </c>
      <c r="M25" s="24">
        <f t="shared" si="54"/>
        <v>1521.89</v>
      </c>
      <c r="N25" s="23">
        <f t="shared" si="54"/>
        <v>1637.52</v>
      </c>
      <c r="O25" s="24">
        <f t="shared" si="54"/>
        <v>1093.76</v>
      </c>
      <c r="P25" s="23">
        <f t="shared" si="54"/>
        <v>1700.02</v>
      </c>
      <c r="Q25" s="39">
        <f t="shared" si="54"/>
        <v>1821.88</v>
      </c>
      <c r="R25" s="40">
        <f>ROUND(SUM(R17:R24), 2)</f>
        <v>1665.65</v>
      </c>
      <c r="S25" s="41">
        <f t="shared" si="54"/>
        <v>1465.63</v>
      </c>
      <c r="T25" s="40">
        <f>ROUND(SUM(T17:T24), 2)</f>
        <v>1421.89</v>
      </c>
      <c r="U25" s="41">
        <f t="shared" si="54"/>
        <v>290.63</v>
      </c>
      <c r="V25" s="40">
        <f>ROUND(SUM(V17:V24), 2)</f>
        <v>953.13</v>
      </c>
      <c r="W25" s="41">
        <f t="shared" si="54"/>
        <v>156.26</v>
      </c>
      <c r="X25" s="40">
        <f>ROUND(SUM(X17:X24), 2)</f>
        <v>940.63</v>
      </c>
      <c r="Y25" s="41">
        <f t="shared" si="54"/>
        <v>578.14</v>
      </c>
      <c r="Z25" s="40">
        <f>ROUND(SUM(Z17:Z24), 2)</f>
        <v>878.13</v>
      </c>
      <c r="AA25" s="42">
        <f t="shared" si="54"/>
        <v>546.88</v>
      </c>
      <c r="AB25" s="40">
        <f>ROUND(SUM(AB17:AB24), 2)</f>
        <v>481.26</v>
      </c>
      <c r="AC25" s="42">
        <f t="shared" ref="AC25:AE25" si="55">ROUND(SUM(AC17:AC24), 2)</f>
        <v>581.26</v>
      </c>
      <c r="AD25" s="40">
        <f>ROUND(SUM(AD17:AD24), 2)</f>
        <v>646.88</v>
      </c>
      <c r="AE25" s="42">
        <f t="shared" si="55"/>
        <v>328.13</v>
      </c>
      <c r="AF25" s="40">
        <f>ROUND(SUM(AF17:AF24), 2)</f>
        <v>646.88</v>
      </c>
      <c r="AG25" s="42">
        <f t="shared" ref="AG25" si="56">ROUND(SUM(AG17:AG24), 2)</f>
        <v>600</v>
      </c>
      <c r="AH25" s="40">
        <f>ROUND(SUM(AH17:AH24), 2)</f>
        <v>646.88</v>
      </c>
      <c r="AI25" s="42">
        <f t="shared" ref="AI25" si="57">ROUND(SUM(AI17:AI24), 2)</f>
        <v>325.02999999999997</v>
      </c>
      <c r="AJ25" s="40">
        <f>ROUND(SUM(AJ17:AJ24), 2)</f>
        <v>1153.1400000000001</v>
      </c>
      <c r="AK25" s="42">
        <f t="shared" ref="AK25" si="58">ROUND(SUM(AK17:AK24), 2)</f>
        <v>268.76</v>
      </c>
      <c r="AL25" s="40">
        <f>ROUND(SUM(AL17:AL24), 2)</f>
        <v>878.14</v>
      </c>
      <c r="AM25" s="42">
        <f t="shared" ref="AM25:AO25" si="59">ROUND(SUM(AM17:AM24), 2)</f>
        <v>1878.14</v>
      </c>
      <c r="AN25" s="40">
        <f>ROUND(SUM(AN17:AN24), 2)</f>
        <v>1065.6400000000001</v>
      </c>
      <c r="AO25" s="42">
        <f t="shared" si="59"/>
        <v>3028.14</v>
      </c>
      <c r="AP25" s="81">
        <f>ROUND(SUM(AP17:AP24), 2)</f>
        <v>1243.77</v>
      </c>
      <c r="AQ25" s="41">
        <f t="shared" ref="AQ25" si="60">ROUND(SUM(AQ17:AQ24), 2)</f>
        <v>19262.53</v>
      </c>
      <c r="AR25" s="40">
        <f>ROUND(SUM(AR17:AR24), 2)</f>
        <v>23646.9</v>
      </c>
    </row>
    <row r="26" spans="2:44" ht="57.75" customHeight="1" x14ac:dyDescent="0.25">
      <c r="B26" s="111" t="s">
        <v>6</v>
      </c>
      <c r="C26" s="55"/>
      <c r="D26" s="51">
        <f>ROUND(((D25-C25)/D25), 2)</f>
        <v>0.76</v>
      </c>
      <c r="E26" s="43"/>
      <c r="F26" s="51">
        <f>ROUND(((F25-E25)/F25), 2)</f>
        <v>0.19</v>
      </c>
      <c r="G26" s="43"/>
      <c r="H26" s="51">
        <f>ROUND(((H25-G25)/H25), 2)</f>
        <v>0.09</v>
      </c>
      <c r="I26" s="43"/>
      <c r="J26" s="51">
        <f>ROUND(((J25-I25)/J25), 2)</f>
        <v>0.54</v>
      </c>
      <c r="K26" s="43"/>
      <c r="L26" s="51">
        <f>ROUND(((L25-K25)/L25), 2)</f>
        <v>0.26</v>
      </c>
      <c r="M26" s="13"/>
      <c r="N26" s="51">
        <f>ROUND(((N25-M25)/N25), 2)</f>
        <v>7.0000000000000007E-2</v>
      </c>
      <c r="O26" s="43"/>
      <c r="P26" s="52">
        <f>ROUND(((P25-O25)/P25), 2)</f>
        <v>0.36</v>
      </c>
      <c r="Q26" s="56"/>
      <c r="R26" s="57">
        <f>ROUND(((R25-Q25)/R25), 2)</f>
        <v>-0.09</v>
      </c>
      <c r="S26" s="58"/>
      <c r="T26" s="57">
        <f>ROUND(((T25-S25)/T25), 2)</f>
        <v>-0.03</v>
      </c>
      <c r="U26" s="58"/>
      <c r="V26" s="57">
        <f>ROUND(((V25-U25)/V25), 2)</f>
        <v>0.7</v>
      </c>
      <c r="W26" s="58"/>
      <c r="X26" s="57">
        <f>ROUND(((X25-W25)/X25), 2)</f>
        <v>0.83</v>
      </c>
      <c r="Y26" s="58"/>
      <c r="Z26" s="57">
        <f>ROUND(((Z25-Y25)/Z25), 2)</f>
        <v>0.34</v>
      </c>
      <c r="AA26" s="58"/>
      <c r="AB26" s="57">
        <f>ROUND(((AB25-AA25)/AB25), 2)</f>
        <v>-0.14000000000000001</v>
      </c>
      <c r="AC26" s="58"/>
      <c r="AD26" s="57">
        <f>ROUND(((AD25-AC25)/AD25), 2)</f>
        <v>0.1</v>
      </c>
      <c r="AE26" s="58"/>
      <c r="AF26" s="57">
        <f>ROUND(((AF25-AE25)/AF25), 2)</f>
        <v>0.49</v>
      </c>
      <c r="AG26" s="58"/>
      <c r="AH26" s="57">
        <f>ROUND(((AH25-AG25)/AH25), 2)</f>
        <v>7.0000000000000007E-2</v>
      </c>
      <c r="AI26" s="58"/>
      <c r="AJ26" s="57">
        <f>ROUND(((AJ25-AI25)/AJ25), 2)</f>
        <v>0.72</v>
      </c>
      <c r="AK26" s="58"/>
      <c r="AL26" s="57">
        <f>ROUND(((AL25-AK25)/AL25), 2)</f>
        <v>0.69</v>
      </c>
      <c r="AM26" s="58"/>
      <c r="AN26" s="57">
        <f>ROUND(((AN25-AM25)/AN25), 2)</f>
        <v>-0.76</v>
      </c>
      <c r="AO26" s="58"/>
      <c r="AP26" s="57">
        <f>ROUND(((AP25-AO25)/AP25), 2)</f>
        <v>-1.43</v>
      </c>
      <c r="AQ26" s="58"/>
      <c r="AR26" s="57">
        <f>ROUND(((AR25-AQ25)/AR25), 2)</f>
        <v>0.19</v>
      </c>
    </row>
  </sheetData>
  <mergeCells count="42">
    <mergeCell ref="AQ2:AR2"/>
    <mergeCell ref="AQ15:AR15"/>
    <mergeCell ref="Q2:R2"/>
    <mergeCell ref="S2:T2"/>
    <mergeCell ref="U2:V2"/>
    <mergeCell ref="W2:X2"/>
    <mergeCell ref="Q15:R15"/>
    <mergeCell ref="S15:T15"/>
    <mergeCell ref="U15:V15"/>
    <mergeCell ref="W15:X15"/>
    <mergeCell ref="AG2:AH2"/>
    <mergeCell ref="AI2:AJ2"/>
    <mergeCell ref="AG15:AH15"/>
    <mergeCell ref="AI15:AJ15"/>
    <mergeCell ref="Y2:Z2"/>
    <mergeCell ref="AE2:AF2"/>
    <mergeCell ref="M15:N15"/>
    <mergeCell ref="O15:P15"/>
    <mergeCell ref="C2:D2"/>
    <mergeCell ref="E2:F2"/>
    <mergeCell ref="G2:H2"/>
    <mergeCell ref="I2:J2"/>
    <mergeCell ref="K2:L2"/>
    <mergeCell ref="M2:N2"/>
    <mergeCell ref="C15:D15"/>
    <mergeCell ref="E15:F15"/>
    <mergeCell ref="G15:H15"/>
    <mergeCell ref="I15:J15"/>
    <mergeCell ref="K15:L15"/>
    <mergeCell ref="O2:P2"/>
    <mergeCell ref="AO15:AP15"/>
    <mergeCell ref="AO2:AP2"/>
    <mergeCell ref="Y15:Z15"/>
    <mergeCell ref="AK2:AL2"/>
    <mergeCell ref="AM2:AN2"/>
    <mergeCell ref="AK15:AL15"/>
    <mergeCell ref="AM15:AN15"/>
    <mergeCell ref="AE15:AF15"/>
    <mergeCell ref="AC2:AD2"/>
    <mergeCell ref="AC15:AD15"/>
    <mergeCell ref="AA2:AB2"/>
    <mergeCell ref="AA15:AB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7379-948C-434A-91D6-7F1070EF8E27}">
  <dimension ref="B1:C13"/>
  <sheetViews>
    <sheetView workbookViewId="0">
      <selection activeCell="C20" sqref="C20"/>
    </sheetView>
  </sheetViews>
  <sheetFormatPr defaultRowHeight="15" x14ac:dyDescent="0.25"/>
  <cols>
    <col min="2" max="2" width="11.85546875" bestFit="1" customWidth="1"/>
    <col min="3" max="3" width="20.140625" customWidth="1"/>
  </cols>
  <sheetData>
    <row r="1" spans="2:3" ht="15.75" thickBot="1" x14ac:dyDescent="0.3"/>
    <row r="2" spans="2:3" ht="15.75" thickTop="1" x14ac:dyDescent="0.25">
      <c r="B2" s="109" t="s">
        <v>0</v>
      </c>
      <c r="C2" s="107" t="s">
        <v>16</v>
      </c>
    </row>
    <row r="3" spans="2:3" ht="70.5" customHeight="1" x14ac:dyDescent="0.25">
      <c r="B3" s="110"/>
      <c r="C3" s="108"/>
    </row>
    <row r="4" spans="2:3" x14ac:dyDescent="0.25">
      <c r="B4" s="88" t="s">
        <v>12</v>
      </c>
      <c r="C4" s="89">
        <f>(('Actual Vs Forecast'!AR4-'Actual Vs Forecast'!AQ4)/'Actual Vs Forecast'!AR4)*100</f>
        <v>44.512195121951223</v>
      </c>
    </row>
    <row r="5" spans="2:3" x14ac:dyDescent="0.25">
      <c r="B5" s="88" t="s">
        <v>8</v>
      </c>
      <c r="C5" s="89">
        <f>(('Actual Vs Forecast'!AR5-'Actual Vs Forecast'!AQ5)/'Actual Vs Forecast'!AR5)*100</f>
        <v>5.2067381316998471</v>
      </c>
    </row>
    <row r="6" spans="2:3" x14ac:dyDescent="0.25">
      <c r="B6" s="88" t="s">
        <v>9</v>
      </c>
      <c r="C6" s="89">
        <f>(('Actual Vs Forecast'!AR6-'Actual Vs Forecast'!AQ6)/'Actual Vs Forecast'!AR6)*100</f>
        <v>10.352264557872035</v>
      </c>
    </row>
    <row r="7" spans="2:3" x14ac:dyDescent="0.25">
      <c r="B7" s="88" t="s">
        <v>10</v>
      </c>
      <c r="C7" s="89">
        <f>(('Actual Vs Forecast'!AR7-'Actual Vs Forecast'!AQ7)/'Actual Vs Forecast'!AR7)*100</f>
        <v>23.450586264656618</v>
      </c>
    </row>
    <row r="8" spans="2:3" x14ac:dyDescent="0.25">
      <c r="B8" s="88" t="s">
        <v>13</v>
      </c>
      <c r="C8" s="89">
        <f>(('Actual Vs Forecast'!AR8-'Actual Vs Forecast'!AQ8)/'Actual Vs Forecast'!AR8)*100</f>
        <v>18.294360385144429</v>
      </c>
    </row>
    <row r="9" spans="2:3" x14ac:dyDescent="0.25">
      <c r="B9" s="88" t="s">
        <v>7</v>
      </c>
      <c r="C9" s="89">
        <f>(('Actual Vs Forecast'!AR9-'Actual Vs Forecast'!AQ9)/'Actual Vs Forecast'!AR9)*100</f>
        <v>52.690763052208837</v>
      </c>
    </row>
    <row r="10" spans="2:3" x14ac:dyDescent="0.25">
      <c r="B10" s="88" t="s">
        <v>11</v>
      </c>
      <c r="C10" s="89">
        <f>(('Actual Vs Forecast'!AR10-'Actual Vs Forecast'!AQ10)/'Actual Vs Forecast'!AR10)*100</f>
        <v>-5.5873925501432664</v>
      </c>
    </row>
    <row r="11" spans="2:3" x14ac:dyDescent="0.25">
      <c r="B11" s="88" t="s">
        <v>14</v>
      </c>
      <c r="C11" s="89">
        <f>(('Actual Vs Forecast'!AR11-'Actual Vs Forecast'!AQ11)/'Actual Vs Forecast'!AR11)*100</f>
        <v>1.2195121951219512</v>
      </c>
    </row>
    <row r="12" spans="2:3" ht="15.75" thickBot="1" x14ac:dyDescent="0.3">
      <c r="B12" s="90" t="s">
        <v>17</v>
      </c>
      <c r="C12" s="91">
        <f>(('Actual Vs Forecast'!AR12-'Actual Vs Forecast'!AQ12)/'Actual Vs Forecast'!AR12)*100</f>
        <v>18.541033434650455</v>
      </c>
    </row>
    <row r="13" spans="2:3" ht="15.75" thickTop="1" x14ac:dyDescent="0.25"/>
  </sheetData>
  <mergeCells count="2">
    <mergeCell ref="C2:C3"/>
    <mergeCell ref="B2:B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Vs Forecast</vt:lpstr>
      <vt:lpstr>Development Phase % 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2018-06-03T08:31:30Z</cp:lastPrinted>
  <dcterms:created xsi:type="dcterms:W3CDTF">2018-03-08T12:35:01Z</dcterms:created>
  <dcterms:modified xsi:type="dcterms:W3CDTF">2018-06-06T12:48:40Z</dcterms:modified>
</cp:coreProperties>
</file>