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ncial Summary Report\FINAL\"/>
    </mc:Choice>
  </mc:AlternateContent>
  <xr:revisionPtr revIDLastSave="0" documentId="13_ncr:1_{AA8608CF-8473-497F-A94A-2D470BB8C3B6}" xr6:coauthVersionLast="33" xr6:coauthVersionMax="33" xr10:uidLastSave="{00000000-0000-0000-0000-000000000000}"/>
  <bookViews>
    <workbookView xWindow="0" yWindow="0" windowWidth="13890" windowHeight="597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U22" i="1" l="1"/>
  <c r="U21" i="1"/>
  <c r="V31" i="1" s="1"/>
  <c r="U20" i="1"/>
  <c r="V30" i="1" s="1"/>
  <c r="U19" i="1"/>
  <c r="V29" i="1" s="1"/>
  <c r="U18" i="1"/>
  <c r="U17" i="1"/>
  <c r="V27" i="1" s="1"/>
  <c r="U16" i="1"/>
  <c r="U15" i="1"/>
  <c r="V25" i="1" s="1"/>
  <c r="T22" i="1"/>
  <c r="U32" i="1" s="1"/>
  <c r="T21" i="1"/>
  <c r="U31" i="1" s="1"/>
  <c r="T20" i="1"/>
  <c r="T19" i="1"/>
  <c r="U29" i="1" s="1"/>
  <c r="T18" i="1"/>
  <c r="U28" i="1" s="1"/>
  <c r="T17" i="1"/>
  <c r="T16" i="1"/>
  <c r="T15" i="1"/>
  <c r="T23" i="1" s="1"/>
  <c r="R22" i="1"/>
  <c r="S32" i="1" s="1"/>
  <c r="R21" i="1"/>
  <c r="R20" i="1"/>
  <c r="R19" i="1"/>
  <c r="R18" i="1"/>
  <c r="R17" i="1"/>
  <c r="S27" i="1" s="1"/>
  <c r="R16" i="1"/>
  <c r="S26" i="1" s="1"/>
  <c r="R15" i="1"/>
  <c r="S22" i="1"/>
  <c r="T32" i="1" s="1"/>
  <c r="S21" i="1"/>
  <c r="T31" i="1" s="1"/>
  <c r="S20" i="1"/>
  <c r="T30" i="1" s="1"/>
  <c r="S19" i="1"/>
  <c r="T29" i="1" s="1"/>
  <c r="S18" i="1"/>
  <c r="T28" i="1" s="1"/>
  <c r="S17" i="1"/>
  <c r="S16" i="1"/>
  <c r="T26" i="1" s="1"/>
  <c r="S15" i="1"/>
  <c r="Q22" i="1"/>
  <c r="R32" i="1" s="1"/>
  <c r="Q21" i="1"/>
  <c r="Q20" i="1"/>
  <c r="R30" i="1" s="1"/>
  <c r="Q19" i="1"/>
  <c r="R29" i="1" s="1"/>
  <c r="Q18" i="1"/>
  <c r="Q17" i="1"/>
  <c r="R27" i="1" s="1"/>
  <c r="Q16" i="1"/>
  <c r="R26" i="1" s="1"/>
  <c r="Q15" i="1"/>
  <c r="P22" i="1"/>
  <c r="Q32" i="1" s="1"/>
  <c r="P21" i="1"/>
  <c r="Q31" i="1" s="1"/>
  <c r="P20" i="1"/>
  <c r="Q30" i="1" s="1"/>
  <c r="P19" i="1"/>
  <c r="P18" i="1"/>
  <c r="P17" i="1"/>
  <c r="P16" i="1"/>
  <c r="P23" i="1" s="1"/>
  <c r="P15" i="1"/>
  <c r="O21" i="1"/>
  <c r="O20" i="1"/>
  <c r="P30" i="1" s="1"/>
  <c r="O19" i="1"/>
  <c r="P29" i="1" s="1"/>
  <c r="O18" i="1"/>
  <c r="P28" i="1" s="1"/>
  <c r="O17" i="1"/>
  <c r="P27" i="1" s="1"/>
  <c r="O16" i="1"/>
  <c r="O15" i="1"/>
  <c r="N21" i="1"/>
  <c r="O31" i="1" s="1"/>
  <c r="N20" i="1"/>
  <c r="N19" i="1"/>
  <c r="O29" i="1" s="1"/>
  <c r="N18" i="1"/>
  <c r="N17" i="1"/>
  <c r="N16" i="1"/>
  <c r="M21" i="1"/>
  <c r="M20" i="1"/>
  <c r="N30" i="1" s="1"/>
  <c r="M19" i="1"/>
  <c r="N29" i="1" s="1"/>
  <c r="M15" i="1"/>
  <c r="L22" i="1"/>
  <c r="M32" i="1" s="1"/>
  <c r="L21" i="1"/>
  <c r="L23" i="1" s="1"/>
  <c r="L20" i="1"/>
  <c r="L19" i="1"/>
  <c r="K22" i="1"/>
  <c r="L32" i="1" s="1"/>
  <c r="K21" i="1"/>
  <c r="L31" i="1" s="1"/>
  <c r="K20" i="1"/>
  <c r="K19" i="1"/>
  <c r="L29" i="1" s="1"/>
  <c r="K18" i="1"/>
  <c r="K17" i="1"/>
  <c r="L27" i="1" s="1"/>
  <c r="K16" i="1"/>
  <c r="L26" i="1" s="1"/>
  <c r="K15" i="1"/>
  <c r="P12" i="1"/>
  <c r="D47" i="1"/>
  <c r="P37" i="1"/>
  <c r="P10" i="1"/>
  <c r="D23" i="1"/>
  <c r="E23" i="1"/>
  <c r="F23" i="1"/>
  <c r="G23" i="1"/>
  <c r="H23" i="1"/>
  <c r="I23" i="1"/>
  <c r="J23" i="1"/>
  <c r="M23" i="1"/>
  <c r="V23" i="1"/>
  <c r="W23" i="1"/>
  <c r="X23" i="1"/>
  <c r="C23" i="1"/>
  <c r="D33" i="1" s="1"/>
  <c r="B58" i="1"/>
  <c r="D56" i="1"/>
  <c r="E54" i="1" s="1"/>
  <c r="E56" i="1" s="1"/>
  <c r="X46" i="1"/>
  <c r="W46" i="1"/>
  <c r="T46" i="1"/>
  <c r="R46" i="1"/>
  <c r="Q46" i="1"/>
  <c r="P46" i="1"/>
  <c r="O46" i="1"/>
  <c r="N46" i="1"/>
  <c r="M46" i="1"/>
  <c r="L46" i="1"/>
  <c r="J46" i="1"/>
  <c r="I46" i="1"/>
  <c r="H46" i="1"/>
  <c r="F46" i="1"/>
  <c r="D46" i="1"/>
  <c r="C46" i="1"/>
  <c r="B46" i="1"/>
  <c r="Y45" i="1"/>
  <c r="U45" i="1"/>
  <c r="K45" i="1"/>
  <c r="G45" i="1"/>
  <c r="Y43" i="1"/>
  <c r="U43" i="1"/>
  <c r="U46" i="1"/>
  <c r="K43" i="1"/>
  <c r="G43" i="1"/>
  <c r="G46" i="1" s="1"/>
  <c r="K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39" i="1"/>
  <c r="J39" i="1" s="1"/>
  <c r="J38" i="1"/>
  <c r="H38" i="1"/>
  <c r="H39" i="1" s="1"/>
  <c r="D38" i="1"/>
  <c r="C38" i="1"/>
  <c r="C47" i="1" s="1"/>
  <c r="B38" i="1"/>
  <c r="B47" i="1" s="1"/>
  <c r="Y37" i="1"/>
  <c r="X37" i="1"/>
  <c r="W37" i="1"/>
  <c r="V37" i="1"/>
  <c r="U37" i="1"/>
  <c r="T37" i="1"/>
  <c r="S37" i="1"/>
  <c r="R37" i="1"/>
  <c r="O37" i="1"/>
  <c r="N37" i="1"/>
  <c r="M37" i="1"/>
  <c r="L37" i="1"/>
  <c r="I37" i="1"/>
  <c r="D37" i="1"/>
  <c r="C37" i="1"/>
  <c r="B37" i="1"/>
  <c r="Y32" i="1"/>
  <c r="X32" i="1"/>
  <c r="W32" i="1"/>
  <c r="V32" i="1"/>
  <c r="P32" i="1"/>
  <c r="O32" i="1"/>
  <c r="N32" i="1"/>
  <c r="K32" i="1"/>
  <c r="J32" i="1"/>
  <c r="I32" i="1"/>
  <c r="H32" i="1"/>
  <c r="G32" i="1"/>
  <c r="F32" i="1"/>
  <c r="E32" i="1"/>
  <c r="D32" i="1"/>
  <c r="Y29" i="1"/>
  <c r="X29" i="1"/>
  <c r="W29" i="1"/>
  <c r="S29" i="1"/>
  <c r="Q29" i="1"/>
  <c r="M29" i="1"/>
  <c r="K29" i="1"/>
  <c r="J29" i="1"/>
  <c r="I29" i="1"/>
  <c r="H29" i="1"/>
  <c r="G29" i="1"/>
  <c r="F29" i="1"/>
  <c r="E29" i="1"/>
  <c r="D29" i="1"/>
  <c r="Y25" i="1"/>
  <c r="X25" i="1"/>
  <c r="W25" i="1"/>
  <c r="U25" i="1"/>
  <c r="R25" i="1"/>
  <c r="Q25" i="1"/>
  <c r="O25" i="1"/>
  <c r="N25" i="1"/>
  <c r="M25" i="1"/>
  <c r="K25" i="1"/>
  <c r="J25" i="1"/>
  <c r="I25" i="1"/>
  <c r="H25" i="1"/>
  <c r="G25" i="1"/>
  <c r="F25" i="1"/>
  <c r="E25" i="1"/>
  <c r="D25" i="1"/>
  <c r="Y31" i="1"/>
  <c r="X31" i="1"/>
  <c r="W31" i="1"/>
  <c r="S31" i="1"/>
  <c r="R31" i="1"/>
  <c r="P31" i="1"/>
  <c r="N31" i="1"/>
  <c r="M31" i="1"/>
  <c r="K31" i="1"/>
  <c r="J31" i="1"/>
  <c r="I31" i="1"/>
  <c r="H31" i="1"/>
  <c r="G31" i="1"/>
  <c r="F31" i="1"/>
  <c r="E31" i="1"/>
  <c r="D31" i="1"/>
  <c r="Y28" i="1"/>
  <c r="X28" i="1"/>
  <c r="W28" i="1"/>
  <c r="V28" i="1"/>
  <c r="S28" i="1"/>
  <c r="Q28" i="1"/>
  <c r="O28" i="1"/>
  <c r="N28" i="1"/>
  <c r="M28" i="1"/>
  <c r="L28" i="1"/>
  <c r="K28" i="1"/>
  <c r="J28" i="1"/>
  <c r="I28" i="1"/>
  <c r="H28" i="1"/>
  <c r="G28" i="1"/>
  <c r="F28" i="1"/>
  <c r="E28" i="1"/>
  <c r="D28" i="1"/>
  <c r="Y27" i="1"/>
  <c r="X27" i="1"/>
  <c r="W27" i="1"/>
  <c r="U27" i="1"/>
  <c r="T27" i="1"/>
  <c r="Q27" i="1"/>
  <c r="O27" i="1"/>
  <c r="N27" i="1"/>
  <c r="M27" i="1"/>
  <c r="K27" i="1"/>
  <c r="J27" i="1"/>
  <c r="I27" i="1"/>
  <c r="H27" i="1"/>
  <c r="G27" i="1"/>
  <c r="F27" i="1"/>
  <c r="E27" i="1"/>
  <c r="D27" i="1"/>
  <c r="Y26" i="1"/>
  <c r="X26" i="1"/>
  <c r="W26" i="1"/>
  <c r="V26" i="1"/>
  <c r="U26" i="1"/>
  <c r="P26" i="1"/>
  <c r="N26" i="1"/>
  <c r="M26" i="1"/>
  <c r="K26" i="1"/>
  <c r="J26" i="1"/>
  <c r="I26" i="1"/>
  <c r="H26" i="1"/>
  <c r="G26" i="1"/>
  <c r="F26" i="1"/>
  <c r="E26" i="1"/>
  <c r="D26" i="1"/>
  <c r="Y30" i="1"/>
  <c r="X30" i="1"/>
  <c r="W30" i="1"/>
  <c r="U30" i="1"/>
  <c r="S30" i="1"/>
  <c r="O30" i="1"/>
  <c r="M30" i="1"/>
  <c r="L30" i="1"/>
  <c r="K30" i="1"/>
  <c r="J30" i="1"/>
  <c r="I30" i="1"/>
  <c r="H30" i="1"/>
  <c r="G30" i="1"/>
  <c r="F30" i="1"/>
  <c r="E30" i="1"/>
  <c r="D30" i="1"/>
  <c r="Y22" i="1"/>
  <c r="Y23" i="1"/>
  <c r="Q12" i="1"/>
  <c r="K12" i="1"/>
  <c r="J12" i="1"/>
  <c r="H12" i="1"/>
  <c r="Y10" i="1"/>
  <c r="Y12" i="1" s="1"/>
  <c r="X10" i="1"/>
  <c r="X12" i="1"/>
  <c r="W10" i="1"/>
  <c r="W12" i="1" s="1"/>
  <c r="V10" i="1"/>
  <c r="V12" i="1" s="1"/>
  <c r="U10" i="1"/>
  <c r="U12" i="1" s="1"/>
  <c r="T10" i="1"/>
  <c r="T12" i="1"/>
  <c r="S10" i="1"/>
  <c r="S12" i="1" s="1"/>
  <c r="R10" i="1"/>
  <c r="R12" i="1"/>
  <c r="O10" i="1"/>
  <c r="O12" i="1" s="1"/>
  <c r="N10" i="1"/>
  <c r="N12" i="1"/>
  <c r="M10" i="1"/>
  <c r="M12" i="1" s="1"/>
  <c r="L10" i="1"/>
  <c r="L12" i="1" s="1"/>
  <c r="I10" i="1"/>
  <c r="I12" i="1" s="1"/>
  <c r="G10" i="1"/>
  <c r="G12" i="1"/>
  <c r="F10" i="1"/>
  <c r="F12" i="1" s="1"/>
  <c r="E10" i="1"/>
  <c r="E12" i="1"/>
  <c r="D10" i="1"/>
  <c r="D12" i="1" s="1"/>
  <c r="D51" i="1" s="1"/>
  <c r="D59" i="1" s="1"/>
  <c r="C10" i="1"/>
  <c r="C12" i="1"/>
  <c r="B10" i="1"/>
  <c r="B12" i="1" s="1"/>
  <c r="F54" i="1"/>
  <c r="C51" i="1"/>
  <c r="C59" i="1" s="1"/>
  <c r="K38" i="1" l="1"/>
  <c r="K39" i="1"/>
  <c r="Y46" i="1"/>
  <c r="Q26" i="1"/>
  <c r="Q33" i="1" s="1"/>
  <c r="Y41" i="1"/>
  <c r="N23" i="1"/>
  <c r="Q23" i="1"/>
  <c r="F47" i="1"/>
  <c r="F51" i="1" s="1"/>
  <c r="F59" i="1" s="1"/>
  <c r="O26" i="1"/>
  <c r="O33" i="1" s="1"/>
  <c r="X33" i="1"/>
  <c r="H47" i="1"/>
  <c r="H51" i="1" s="1"/>
  <c r="H59" i="1" s="1"/>
  <c r="E41" i="1"/>
  <c r="E46" i="1" s="1"/>
  <c r="K46" i="1"/>
  <c r="L38" i="1"/>
  <c r="L39" i="1" s="1"/>
  <c r="G47" i="1"/>
  <c r="G33" i="1"/>
  <c r="K33" i="1"/>
  <c r="K47" i="1"/>
  <c r="K51" i="1" s="1"/>
  <c r="K59" i="1" s="1"/>
  <c r="W33" i="1"/>
  <c r="S25" i="1"/>
  <c r="R23" i="1"/>
  <c r="F56" i="1"/>
  <c r="G51" i="1"/>
  <c r="G59" i="1" s="1"/>
  <c r="J33" i="1"/>
  <c r="J47" i="1"/>
  <c r="J51" i="1" s="1"/>
  <c r="J59" i="1" s="1"/>
  <c r="M33" i="1"/>
  <c r="B51" i="1"/>
  <c r="U33" i="1"/>
  <c r="F33" i="1"/>
  <c r="I51" i="1"/>
  <c r="I59" i="1" s="1"/>
  <c r="H33" i="1"/>
  <c r="E33" i="1"/>
  <c r="I33" i="1"/>
  <c r="I47" i="1"/>
  <c r="V41" i="1"/>
  <c r="K23" i="1"/>
  <c r="L25" i="1"/>
  <c r="N33" i="1"/>
  <c r="R28" i="1"/>
  <c r="R33" i="1" s="1"/>
  <c r="V33" i="1"/>
  <c r="T25" i="1"/>
  <c r="S23" i="1"/>
  <c r="S41" i="1"/>
  <c r="S46" i="1" s="1"/>
  <c r="U23" i="1"/>
  <c r="Y33" i="1"/>
  <c r="O23" i="1"/>
  <c r="P25" i="1"/>
  <c r="E47" i="1" l="1"/>
  <c r="E51" i="1" s="1"/>
  <c r="E59" i="1" s="1"/>
  <c r="M38" i="1"/>
  <c r="M47" i="1" s="1"/>
  <c r="M51" i="1" s="1"/>
  <c r="M59" i="1" s="1"/>
  <c r="M39" i="1"/>
  <c r="B52" i="1"/>
  <c r="B59" i="1"/>
  <c r="L47" i="1"/>
  <c r="L51" i="1" s="1"/>
  <c r="L59" i="1" s="1"/>
  <c r="L33" i="1"/>
  <c r="S33" i="1"/>
  <c r="P33" i="1"/>
  <c r="T33" i="1"/>
  <c r="V46" i="1"/>
  <c r="G54" i="1"/>
  <c r="N38" i="1" l="1"/>
  <c r="N47" i="1" s="1"/>
  <c r="N51" i="1" s="1"/>
  <c r="N59" i="1" s="1"/>
  <c r="G56" i="1"/>
  <c r="C50" i="1"/>
  <c r="B60" i="1"/>
  <c r="C58" i="1" l="1"/>
  <c r="C52" i="1"/>
  <c r="N39" i="1"/>
  <c r="H54" i="1"/>
  <c r="D50" i="1" l="1"/>
  <c r="C60" i="1"/>
  <c r="H56" i="1"/>
  <c r="O38" i="1"/>
  <c r="O47" i="1" s="1"/>
  <c r="O51" i="1" s="1"/>
  <c r="O59" i="1" s="1"/>
  <c r="O39" i="1" l="1"/>
  <c r="D58" i="1"/>
  <c r="D52" i="1"/>
  <c r="I54" i="1"/>
  <c r="P38" i="1" l="1"/>
  <c r="P47" i="1" s="1"/>
  <c r="P51" i="1" s="1"/>
  <c r="P59" i="1" s="1"/>
  <c r="I56" i="1"/>
  <c r="E50" i="1"/>
  <c r="D60" i="1"/>
  <c r="E52" i="1" l="1"/>
  <c r="E58" i="1"/>
  <c r="P39" i="1"/>
  <c r="J54" i="1"/>
  <c r="J56" i="1" l="1"/>
  <c r="F50" i="1"/>
  <c r="E60" i="1"/>
  <c r="Q38" i="1"/>
  <c r="Q47" i="1" s="1"/>
  <c r="Q51" i="1" s="1"/>
  <c r="Q59" i="1" s="1"/>
  <c r="Q39" i="1" l="1"/>
  <c r="K54" i="1"/>
  <c r="F52" i="1"/>
  <c r="F58" i="1"/>
  <c r="K56" i="1" l="1"/>
  <c r="R38" i="1"/>
  <c r="R47" i="1" s="1"/>
  <c r="R51" i="1" s="1"/>
  <c r="R59" i="1" s="1"/>
  <c r="R39" i="1"/>
  <c r="G50" i="1"/>
  <c r="F60" i="1"/>
  <c r="G52" i="1" l="1"/>
  <c r="G58" i="1"/>
  <c r="L54" i="1"/>
  <c r="S38" i="1"/>
  <c r="S47" i="1" s="1"/>
  <c r="S51" i="1" s="1"/>
  <c r="S59" i="1" s="1"/>
  <c r="S39" i="1" l="1"/>
  <c r="H50" i="1"/>
  <c r="G60" i="1"/>
  <c r="L56" i="1"/>
  <c r="H52" i="1" l="1"/>
  <c r="H58" i="1"/>
  <c r="T38" i="1"/>
  <c r="T47" i="1" s="1"/>
  <c r="T51" i="1" s="1"/>
  <c r="T59" i="1" s="1"/>
  <c r="M54" i="1"/>
  <c r="M56" i="1" l="1"/>
  <c r="I50" i="1"/>
  <c r="H60" i="1"/>
  <c r="T39" i="1"/>
  <c r="N54" i="1" l="1"/>
  <c r="U38" i="1"/>
  <c r="U47" i="1" s="1"/>
  <c r="U51" i="1" s="1"/>
  <c r="U59" i="1" s="1"/>
  <c r="I52" i="1"/>
  <c r="I58" i="1"/>
  <c r="N56" i="1" l="1"/>
  <c r="J50" i="1"/>
  <c r="I60" i="1"/>
  <c r="U39" i="1"/>
  <c r="V38" i="1" l="1"/>
  <c r="V47" i="1" s="1"/>
  <c r="V51" i="1" s="1"/>
  <c r="V59" i="1" s="1"/>
  <c r="V39" i="1"/>
  <c r="O54" i="1"/>
  <c r="J52" i="1"/>
  <c r="J58" i="1"/>
  <c r="W38" i="1" l="1"/>
  <c r="W47" i="1" s="1"/>
  <c r="W51" i="1" s="1"/>
  <c r="W59" i="1" s="1"/>
  <c r="K50" i="1"/>
  <c r="J60" i="1"/>
  <c r="O56" i="1"/>
  <c r="P54" i="1" l="1"/>
  <c r="W39" i="1"/>
  <c r="K52" i="1"/>
  <c r="K58" i="1"/>
  <c r="P56" i="1" l="1"/>
  <c r="L50" i="1"/>
  <c r="K60" i="1"/>
  <c r="X38" i="1"/>
  <c r="X47" i="1" s="1"/>
  <c r="X51" i="1" s="1"/>
  <c r="X59" i="1" s="1"/>
  <c r="X39" i="1" l="1"/>
  <c r="Q54" i="1"/>
  <c r="L52" i="1"/>
  <c r="L58" i="1"/>
  <c r="Q56" i="1" l="1"/>
  <c r="Y38" i="1"/>
  <c r="Y47" i="1" s="1"/>
  <c r="Y51" i="1" s="1"/>
  <c r="Y59" i="1" s="1"/>
  <c r="M50" i="1"/>
  <c r="L60" i="1"/>
  <c r="M52" i="1" l="1"/>
  <c r="M58" i="1"/>
  <c r="R54" i="1"/>
  <c r="Y39" i="1"/>
  <c r="N50" i="1" l="1"/>
  <c r="M60" i="1"/>
  <c r="R56" i="1"/>
  <c r="N52" i="1" l="1"/>
  <c r="N58" i="1"/>
  <c r="S54" i="1"/>
  <c r="O50" i="1" l="1"/>
  <c r="N60" i="1"/>
  <c r="S56" i="1"/>
  <c r="O52" i="1" l="1"/>
  <c r="O58" i="1"/>
  <c r="T54" i="1"/>
  <c r="P50" i="1" l="1"/>
  <c r="O60" i="1"/>
  <c r="T56" i="1"/>
  <c r="P52" i="1" l="1"/>
  <c r="P58" i="1"/>
  <c r="U54" i="1"/>
  <c r="Q50" i="1" l="1"/>
  <c r="P60" i="1"/>
  <c r="U56" i="1"/>
  <c r="Q52" i="1" l="1"/>
  <c r="Q58" i="1"/>
  <c r="V54" i="1"/>
  <c r="R50" i="1" l="1"/>
  <c r="Q60" i="1"/>
  <c r="V56" i="1"/>
  <c r="R52" i="1" l="1"/>
  <c r="R58" i="1"/>
  <c r="W54" i="1"/>
  <c r="S50" i="1" l="1"/>
  <c r="R60" i="1"/>
  <c r="W56" i="1"/>
  <c r="S52" i="1" l="1"/>
  <c r="S58" i="1"/>
  <c r="X54" i="1"/>
  <c r="T50" i="1" l="1"/>
  <c r="S60" i="1"/>
  <c r="X56" i="1"/>
  <c r="T52" i="1" l="1"/>
  <c r="T58" i="1"/>
  <c r="Y54" i="1"/>
  <c r="U50" i="1" l="1"/>
  <c r="T60" i="1"/>
  <c r="Y56" i="1"/>
  <c r="U52" i="1" l="1"/>
  <c r="U58" i="1"/>
  <c r="V50" i="1" l="1"/>
  <c r="U60" i="1"/>
  <c r="V52" i="1" l="1"/>
  <c r="V58" i="1"/>
  <c r="W50" i="1" l="1"/>
  <c r="V60" i="1"/>
  <c r="W52" i="1" l="1"/>
  <c r="W58" i="1"/>
  <c r="X50" i="1" l="1"/>
  <c r="W60" i="1"/>
  <c r="X52" i="1" l="1"/>
  <c r="X58" i="1"/>
  <c r="Y50" i="1" l="1"/>
  <c r="X60" i="1"/>
  <c r="Y52" i="1" l="1"/>
  <c r="Y60" i="1" s="1"/>
  <c r="Y58" i="1"/>
</calcChain>
</file>

<file path=xl/sharedStrings.xml><?xml version="1.0" encoding="utf-8"?>
<sst xmlns="http://schemas.openxmlformats.org/spreadsheetml/2006/main" count="88" uniqueCount="47">
  <si>
    <t>Spring Term</t>
  </si>
  <si>
    <t>Easter Holidays</t>
  </si>
  <si>
    <t>Summer Term</t>
  </si>
  <si>
    <t>Actual</t>
  </si>
  <si>
    <t>Forecast</t>
  </si>
  <si>
    <t>Week Commencing</t>
  </si>
  <si>
    <t>£</t>
  </si>
  <si>
    <t>Income</t>
  </si>
  <si>
    <t>Contracts</t>
  </si>
  <si>
    <t>Contract with '4Learning'</t>
  </si>
  <si>
    <t>Contract with 'SImpLe'</t>
  </si>
  <si>
    <t>Total Contracts In</t>
  </si>
  <si>
    <t>Estimated Loan</t>
  </si>
  <si>
    <t>Total Income</t>
  </si>
  <si>
    <t>Expenses</t>
  </si>
  <si>
    <t>Estimated Wages Accrued</t>
  </si>
  <si>
    <t>Marco-Project Manager</t>
  </si>
  <si>
    <t>Alex F-QA &amp; Documents Manager</t>
  </si>
  <si>
    <t>Jack-Software Manager</t>
  </si>
  <si>
    <t>Jeremy-Design Manager</t>
  </si>
  <si>
    <t>Miranda-Finance Manager</t>
  </si>
  <si>
    <t>Alex B-Multimedia &amp; Content Manager</t>
  </si>
  <si>
    <t>Kevin-GUI Developer/Manager</t>
  </si>
  <si>
    <t>St.John-Marketing Manager</t>
  </si>
  <si>
    <t>Total</t>
  </si>
  <si>
    <t>(Estimated) Wages Paid</t>
  </si>
  <si>
    <t>Total Contracts Out</t>
  </si>
  <si>
    <t>Estimated Interest</t>
  </si>
  <si>
    <t>Loan With Interest (For Calculation Purposes)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</si>
  <si>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</si>
  <si>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</si>
  <si>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</si>
  <si>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</si>
  <si>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</si>
  <si>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</si>
  <si>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</si>
  <si>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</si>
  <si>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</si>
  <si>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Actuals Until Dividing Line</t>
  </si>
  <si>
    <t>Opening Balance</t>
  </si>
  <si>
    <t>Net Cashflow</t>
  </si>
  <si>
    <t>Closing Balance</t>
  </si>
  <si>
    <t>Forecast Until Dividing Line</t>
  </si>
  <si>
    <t>Variance Until Dividing Line</t>
  </si>
  <si>
    <t>Key:</t>
  </si>
  <si>
    <t>Blue Line</t>
  </si>
  <si>
    <t>The last week that has complete timesheets.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</si>
</sst>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_ ;[Red]\-#,##0.00\ 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11"/>
      <color indexed="23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23"/>
      <name val="Arial"/>
      <family val="2"/>
    </font>
    <font>
      <sz val="11"/>
      <color indexed="23"/>
      <name val="Arial"/>
      <family val="2"/>
    </font>
    <font>
      <sz val="11"/>
      <color indexed="23"/>
      <name val="Arial"/>
      <family val="2"/>
    </font>
    <font>
      <b/>
      <sz val="11"/>
      <color indexed="63"/>
      <name val="Arial"/>
      <family val="2"/>
    </font>
    <font>
      <sz val="11"/>
      <color indexed="8"/>
      <name val="Aria#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</fills>
  <borders count="14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/>
      <right style="thin">
        <color indexed="64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tted">
        <color indexed="8"/>
      </bottom>
      <diagonal/>
    </border>
    <border>
      <left style="thick">
        <color indexed="8"/>
      </left>
      <right style="thick">
        <color indexed="8"/>
      </right>
      <top style="dotted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dotted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tted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uble">
        <color indexed="8"/>
      </bottom>
      <diagonal/>
    </border>
    <border>
      <left/>
      <right style="thin">
        <color indexed="8"/>
      </right>
      <top style="dotted">
        <color indexed="8"/>
      </top>
      <bottom style="double">
        <color indexed="8"/>
      </bottom>
      <diagonal/>
    </border>
    <border>
      <left style="thin">
        <color indexed="8"/>
      </left>
      <right/>
      <top style="dotted">
        <color indexed="8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 style="thin">
        <color indexed="64"/>
      </bottom>
      <diagonal/>
    </border>
    <border>
      <left/>
      <right style="thick">
        <color indexed="64"/>
      </right>
      <top style="thick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ck">
        <color indexed="64"/>
      </bottom>
      <diagonal/>
    </border>
    <border>
      <left/>
      <right style="thin">
        <color indexed="64"/>
      </right>
      <top style="thin">
        <color indexed="8"/>
      </top>
      <bottom style="thick">
        <color indexed="64"/>
      </bottom>
      <diagonal/>
    </border>
    <border>
      <left/>
      <right style="thick">
        <color indexed="64"/>
      </right>
      <top style="thin">
        <color indexed="8"/>
      </top>
      <bottom style="thick">
        <color indexed="64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8"/>
      </bottom>
      <diagonal/>
    </border>
    <border>
      <left/>
      <right style="thin">
        <color indexed="64"/>
      </right>
      <top/>
      <bottom style="thick">
        <color indexed="8"/>
      </bottom>
      <diagonal/>
    </border>
    <border>
      <left style="thin">
        <color indexed="64"/>
      </left>
      <right style="thick">
        <color indexed="64"/>
      </right>
      <top/>
      <bottom style="thick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2"/>
      </right>
      <top style="thin">
        <color indexed="8"/>
      </top>
      <bottom/>
      <diagonal/>
    </border>
    <border>
      <left style="thin">
        <color indexed="8"/>
      </left>
      <right style="medium">
        <color indexed="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2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62"/>
      </right>
      <top style="dotted">
        <color indexed="8"/>
      </top>
      <bottom style="thin">
        <color indexed="8"/>
      </bottom>
      <diagonal/>
    </border>
    <border>
      <left/>
      <right style="medium">
        <color indexed="62"/>
      </right>
      <top style="thin">
        <color indexed="64"/>
      </top>
      <bottom style="thin">
        <color indexed="8"/>
      </bottom>
      <diagonal/>
    </border>
    <border>
      <left/>
      <right style="medium">
        <color indexed="62"/>
      </right>
      <top style="thin">
        <color indexed="8"/>
      </top>
      <bottom style="thin">
        <color indexed="8"/>
      </bottom>
      <diagonal/>
    </border>
    <border>
      <left/>
      <right style="medium">
        <color indexed="62"/>
      </right>
      <top/>
      <bottom style="thin">
        <color indexed="8"/>
      </bottom>
      <diagonal/>
    </border>
    <border>
      <left/>
      <right style="medium">
        <color indexed="62"/>
      </right>
      <top style="thin">
        <color indexed="8"/>
      </top>
      <bottom style="thin">
        <color indexed="64"/>
      </bottom>
      <diagonal/>
    </border>
    <border>
      <left/>
      <right style="medium">
        <color indexed="62"/>
      </right>
      <top/>
      <bottom style="thin">
        <color indexed="64"/>
      </bottom>
      <diagonal/>
    </border>
    <border>
      <left style="thin">
        <color indexed="8"/>
      </left>
      <right style="medium">
        <color indexed="62"/>
      </right>
      <top style="dotted">
        <color indexed="8"/>
      </top>
      <bottom style="double">
        <color indexed="8"/>
      </bottom>
      <diagonal/>
    </border>
    <border>
      <left/>
      <right style="thin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2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2"/>
      </right>
      <top style="thick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/>
      <bottom style="thin">
        <color indexed="8"/>
      </bottom>
      <diagonal/>
    </border>
    <border>
      <left style="thin">
        <color indexed="64"/>
      </left>
      <right style="medium">
        <color indexed="62"/>
      </right>
      <top/>
      <bottom/>
      <diagonal/>
    </border>
    <border>
      <left style="thin">
        <color indexed="64"/>
      </left>
      <right style="medium">
        <color indexed="62"/>
      </right>
      <top style="thin">
        <color indexed="8"/>
      </top>
      <bottom style="thick">
        <color indexed="64"/>
      </bottom>
      <diagonal/>
    </border>
    <border>
      <left style="thin">
        <color indexed="64"/>
      </left>
      <right style="medium">
        <color indexed="62"/>
      </right>
      <top style="thick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2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/>
      <bottom style="thick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2"/>
      </right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64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dotted">
        <color indexed="8"/>
      </bottom>
      <diagonal/>
    </border>
    <border>
      <left/>
      <right/>
      <top style="thick">
        <color indexed="8"/>
      </top>
      <bottom style="dotted">
        <color indexed="8"/>
      </bottom>
      <diagonal/>
    </border>
    <border>
      <left/>
      <right style="thick">
        <color indexed="8"/>
      </right>
      <top style="thick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ck">
        <color indexed="64"/>
      </bottom>
      <diagonal/>
    </border>
    <border>
      <left style="thick">
        <color indexed="30"/>
      </left>
      <right/>
      <top style="dotted">
        <color indexed="8"/>
      </top>
      <bottom style="thick">
        <color indexed="64"/>
      </bottom>
      <diagonal/>
    </border>
    <border>
      <left/>
      <right style="thick">
        <color indexed="8"/>
      </right>
      <top style="dotted">
        <color indexed="8"/>
      </top>
      <bottom style="thick">
        <color indexed="64"/>
      </bottom>
      <diagonal/>
    </border>
    <border>
      <left style="thick">
        <color indexed="8"/>
      </left>
      <right style="thick">
        <color indexed="30"/>
      </right>
      <top style="dotted">
        <color indexed="8"/>
      </top>
      <bottom style="thick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 applyFont="1" applyAlignment="1"/>
    <xf numFmtId="40" fontId="0" fillId="0" borderId="0" xfId="0" applyNumberFormat="1" applyFont="1"/>
    <xf numFmtId="40" fontId="2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right" vertical="center"/>
    </xf>
    <xf numFmtId="40" fontId="11" fillId="0" borderId="9" xfId="0" applyNumberFormat="1" applyFont="1" applyBorder="1" applyAlignment="1">
      <alignment horizontal="right" vertical="center"/>
    </xf>
    <xf numFmtId="40" fontId="11" fillId="0" borderId="10" xfId="0" applyNumberFormat="1" applyFont="1" applyBorder="1" applyAlignment="1">
      <alignment horizontal="right" vertical="center"/>
    </xf>
    <xf numFmtId="40" fontId="11" fillId="0" borderId="11" xfId="0" applyNumberFormat="1" applyFont="1" applyBorder="1" applyAlignment="1">
      <alignment horizontal="right" vertical="center"/>
    </xf>
    <xf numFmtId="40" fontId="11" fillId="0" borderId="12" xfId="0" applyNumberFormat="1" applyFont="1" applyBorder="1" applyAlignment="1">
      <alignment horizontal="right" vertical="center"/>
    </xf>
    <xf numFmtId="40" fontId="11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vertical="center"/>
    </xf>
    <xf numFmtId="40" fontId="11" fillId="0" borderId="12" xfId="0" applyNumberFormat="1" applyFont="1" applyBorder="1" applyAlignment="1">
      <alignment vertical="center"/>
    </xf>
    <xf numFmtId="40" fontId="11" fillId="0" borderId="10" xfId="0" applyNumberFormat="1" applyFont="1" applyBorder="1" applyAlignment="1">
      <alignment vertical="center"/>
    </xf>
    <xf numFmtId="40" fontId="4" fillId="0" borderId="10" xfId="0" applyNumberFormat="1" applyFont="1" applyBorder="1" applyAlignment="1">
      <alignment vertical="center"/>
    </xf>
    <xf numFmtId="40" fontId="11" fillId="0" borderId="11" xfId="0" applyNumberFormat="1" applyFont="1" applyBorder="1" applyAlignment="1">
      <alignment vertical="center"/>
    </xf>
    <xf numFmtId="40" fontId="11" fillId="0" borderId="0" xfId="0" applyNumberFormat="1" applyFont="1" applyAlignment="1">
      <alignment vertical="center"/>
    </xf>
    <xf numFmtId="40" fontId="4" fillId="0" borderId="12" xfId="0" applyNumberFormat="1" applyFont="1" applyBorder="1" applyAlignment="1">
      <alignment vertical="center"/>
    </xf>
    <xf numFmtId="40" fontId="11" fillId="0" borderId="13" xfId="0" applyNumberFormat="1" applyFont="1" applyBorder="1" applyAlignment="1">
      <alignment vertical="center"/>
    </xf>
    <xf numFmtId="40" fontId="4" fillId="0" borderId="11" xfId="0" applyNumberFormat="1" applyFont="1" applyBorder="1" applyAlignment="1">
      <alignment vertical="center"/>
    </xf>
    <xf numFmtId="0" fontId="0" fillId="0" borderId="14" xfId="0" applyFont="1" applyBorder="1" applyAlignment="1"/>
    <xf numFmtId="0" fontId="3" fillId="0" borderId="12" xfId="0" applyFont="1" applyBorder="1" applyAlignment="1">
      <alignment horizontal="center" vertical="center"/>
    </xf>
    <xf numFmtId="40" fontId="4" fillId="0" borderId="13" xfId="0" applyNumberFormat="1" applyFont="1" applyBorder="1" applyAlignment="1">
      <alignment vertical="center"/>
    </xf>
    <xf numFmtId="40" fontId="4" fillId="0" borderId="15" xfId="0" applyNumberFormat="1" applyFont="1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0" fontId="3" fillId="0" borderId="18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vertical="center"/>
    </xf>
    <xf numFmtId="164" fontId="3" fillId="0" borderId="20" xfId="0" applyNumberFormat="1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164" fontId="3" fillId="0" borderId="24" xfId="0" applyNumberFormat="1" applyFont="1" applyBorder="1" applyAlignment="1">
      <alignment vertical="center"/>
    </xf>
    <xf numFmtId="164" fontId="3" fillId="0" borderId="25" xfId="0" applyNumberFormat="1" applyFont="1" applyBorder="1" applyAlignment="1">
      <alignment vertical="center"/>
    </xf>
    <xf numFmtId="164" fontId="3" fillId="0" borderId="26" xfId="0" applyNumberFormat="1" applyFont="1" applyBorder="1" applyAlignment="1">
      <alignment vertical="center"/>
    </xf>
    <xf numFmtId="40" fontId="3" fillId="0" borderId="27" xfId="0" applyNumberFormat="1" applyFont="1" applyBorder="1" applyAlignment="1">
      <alignment vertical="center"/>
    </xf>
    <xf numFmtId="40" fontId="3" fillId="0" borderId="28" xfId="0" applyNumberFormat="1" applyFont="1" applyBorder="1" applyAlignment="1">
      <alignment horizontal="center" vertical="center"/>
    </xf>
    <xf numFmtId="40" fontId="3" fillId="0" borderId="29" xfId="0" applyNumberFormat="1" applyFont="1" applyBorder="1" applyAlignment="1">
      <alignment horizontal="center" vertical="center"/>
    </xf>
    <xf numFmtId="40" fontId="3" fillId="0" borderId="30" xfId="0" applyNumberFormat="1" applyFont="1" applyBorder="1" applyAlignment="1">
      <alignment horizontal="center" vertical="center"/>
    </xf>
    <xf numFmtId="40" fontId="3" fillId="0" borderId="31" xfId="0" applyNumberFormat="1" applyFont="1" applyBorder="1" applyAlignment="1">
      <alignment horizontal="center" vertical="center"/>
    </xf>
    <xf numFmtId="40" fontId="3" fillId="0" borderId="32" xfId="0" applyNumberFormat="1" applyFont="1" applyBorder="1" applyAlignment="1">
      <alignment horizontal="right" vertical="center"/>
    </xf>
    <xf numFmtId="40" fontId="3" fillId="0" borderId="33" xfId="0" applyNumberFormat="1" applyFont="1" applyBorder="1" applyAlignment="1">
      <alignment horizontal="right" vertical="center"/>
    </xf>
    <xf numFmtId="40" fontId="5" fillId="2" borderId="18" xfId="0" applyNumberFormat="1" applyFont="1" applyFill="1" applyBorder="1" applyAlignment="1">
      <alignment vertical="center"/>
    </xf>
    <xf numFmtId="40" fontId="5" fillId="0" borderId="34" xfId="0" applyNumberFormat="1" applyFont="1" applyBorder="1" applyAlignment="1">
      <alignment vertical="center"/>
    </xf>
    <xf numFmtId="40" fontId="3" fillId="0" borderId="16" xfId="0" applyNumberFormat="1" applyFont="1" applyBorder="1" applyAlignment="1">
      <alignment vertical="center"/>
    </xf>
    <xf numFmtId="40" fontId="3" fillId="0" borderId="3" xfId="0" applyNumberFormat="1" applyFont="1" applyBorder="1" applyAlignment="1">
      <alignment vertical="center"/>
    </xf>
    <xf numFmtId="40" fontId="4" fillId="0" borderId="2" xfId="0" applyNumberFormat="1" applyFont="1" applyBorder="1" applyAlignment="1">
      <alignment vertical="center"/>
    </xf>
    <xf numFmtId="40" fontId="4" fillId="0" borderId="3" xfId="0" applyNumberFormat="1" applyFont="1" applyBorder="1" applyAlignment="1">
      <alignment vertical="center"/>
    </xf>
    <xf numFmtId="40" fontId="3" fillId="0" borderId="4" xfId="0" applyNumberFormat="1" applyFont="1" applyBorder="1" applyAlignment="1">
      <alignment vertical="center"/>
    </xf>
    <xf numFmtId="40" fontId="3" fillId="0" borderId="12" xfId="0" applyNumberFormat="1" applyFont="1" applyBorder="1" applyAlignment="1">
      <alignment vertical="center"/>
    </xf>
    <xf numFmtId="40" fontId="3" fillId="0" borderId="10" xfId="0" applyNumberFormat="1" applyFont="1" applyBorder="1" applyAlignment="1">
      <alignment vertical="center"/>
    </xf>
    <xf numFmtId="40" fontId="3" fillId="0" borderId="2" xfId="0" applyNumberFormat="1" applyFont="1" applyBorder="1" applyAlignment="1">
      <alignment vertical="center"/>
    </xf>
    <xf numFmtId="40" fontId="3" fillId="0" borderId="5" xfId="0" applyNumberFormat="1" applyFont="1" applyBorder="1" applyAlignment="1">
      <alignment vertical="center"/>
    </xf>
    <xf numFmtId="40" fontId="3" fillId="0" borderId="34" xfId="0" applyNumberFormat="1" applyFont="1" applyBorder="1" applyAlignment="1">
      <alignment horizontal="right" vertical="center"/>
    </xf>
    <xf numFmtId="40" fontId="3" fillId="0" borderId="34" xfId="0" applyNumberFormat="1" applyFont="1" applyBorder="1" applyAlignment="1">
      <alignment vertical="center"/>
    </xf>
    <xf numFmtId="40" fontId="3" fillId="0" borderId="35" xfId="0" applyNumberFormat="1" applyFont="1" applyBorder="1" applyAlignment="1">
      <alignment vertical="center"/>
    </xf>
    <xf numFmtId="40" fontId="3" fillId="0" borderId="36" xfId="0" applyNumberFormat="1" applyFont="1" applyBorder="1" applyAlignment="1">
      <alignment vertical="center"/>
    </xf>
    <xf numFmtId="40" fontId="3" fillId="0" borderId="37" xfId="0" applyNumberFormat="1" applyFont="1" applyBorder="1" applyAlignment="1">
      <alignment vertical="center"/>
    </xf>
    <xf numFmtId="40" fontId="3" fillId="0" borderId="38" xfId="0" applyNumberFormat="1" applyFont="1" applyBorder="1" applyAlignment="1">
      <alignment vertical="center"/>
    </xf>
    <xf numFmtId="40" fontId="3" fillId="0" borderId="39" xfId="0" applyNumberFormat="1" applyFont="1" applyBorder="1" applyAlignment="1">
      <alignment vertical="center"/>
    </xf>
    <xf numFmtId="40" fontId="3" fillId="0" borderId="40" xfId="0" applyNumberFormat="1" applyFont="1" applyBorder="1" applyAlignment="1">
      <alignment vertical="center"/>
    </xf>
    <xf numFmtId="40" fontId="3" fillId="0" borderId="41" xfId="0" applyNumberFormat="1" applyFont="1" applyBorder="1" applyAlignment="1">
      <alignment vertical="center"/>
    </xf>
    <xf numFmtId="40" fontId="5" fillId="0" borderId="42" xfId="0" applyNumberFormat="1" applyFont="1" applyBorder="1" applyAlignment="1">
      <alignment vertical="center"/>
    </xf>
    <xf numFmtId="40" fontId="3" fillId="0" borderId="43" xfId="0" applyNumberFormat="1" applyFont="1" applyBorder="1" applyAlignment="1">
      <alignment vertical="center"/>
    </xf>
    <xf numFmtId="40" fontId="3" fillId="0" borderId="44" xfId="0" applyNumberFormat="1" applyFont="1" applyBorder="1" applyAlignment="1">
      <alignment vertical="center"/>
    </xf>
    <xf numFmtId="40" fontId="3" fillId="0" borderId="45" xfId="0" applyNumberFormat="1" applyFont="1" applyBorder="1" applyAlignment="1">
      <alignment vertical="center"/>
    </xf>
    <xf numFmtId="40" fontId="3" fillId="0" borderId="46" xfId="0" applyNumberFormat="1" applyFont="1" applyBorder="1" applyAlignment="1">
      <alignment vertical="center"/>
    </xf>
    <xf numFmtId="40" fontId="3" fillId="0" borderId="47" xfId="0" applyNumberFormat="1" applyFont="1" applyBorder="1" applyAlignment="1">
      <alignment vertical="center"/>
    </xf>
    <xf numFmtId="40" fontId="3" fillId="0" borderId="48" xfId="0" applyNumberFormat="1" applyFont="1" applyBorder="1" applyAlignment="1">
      <alignment vertical="center"/>
    </xf>
    <xf numFmtId="40" fontId="3" fillId="0" borderId="49" xfId="0" applyNumberFormat="1" applyFont="1" applyBorder="1" applyAlignment="1">
      <alignment vertical="center"/>
    </xf>
    <xf numFmtId="40" fontId="3" fillId="0" borderId="50" xfId="0" applyNumberFormat="1" applyFont="1" applyBorder="1" applyAlignment="1">
      <alignment vertical="center"/>
    </xf>
    <xf numFmtId="40" fontId="5" fillId="2" borderId="34" xfId="0" applyNumberFormat="1" applyFont="1" applyFill="1" applyBorder="1" applyAlignment="1">
      <alignment vertical="center"/>
    </xf>
    <xf numFmtId="40" fontId="6" fillId="0" borderId="3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0" fontId="3" fillId="0" borderId="51" xfId="0" applyNumberFormat="1" applyFont="1" applyBorder="1" applyAlignment="1">
      <alignment vertical="center"/>
    </xf>
    <xf numFmtId="40" fontId="3" fillId="0" borderId="52" xfId="0" applyNumberFormat="1" applyFont="1" applyBorder="1" applyAlignment="1">
      <alignment vertical="center"/>
    </xf>
    <xf numFmtId="40" fontId="3" fillId="0" borderId="53" xfId="0" applyNumberFormat="1" applyFont="1" applyBorder="1" applyAlignment="1">
      <alignment vertical="center"/>
    </xf>
    <xf numFmtId="40" fontId="3" fillId="0" borderId="54" xfId="0" applyNumberFormat="1" applyFont="1" applyBorder="1" applyAlignment="1">
      <alignment vertical="center"/>
    </xf>
    <xf numFmtId="40" fontId="7" fillId="0" borderId="34" xfId="0" applyNumberFormat="1" applyFont="1" applyBorder="1" applyAlignment="1">
      <alignment horizontal="right" vertical="center" wrapText="1"/>
    </xf>
    <xf numFmtId="40" fontId="7" fillId="0" borderId="34" xfId="0" applyNumberFormat="1" applyFont="1" applyBorder="1" applyAlignment="1">
      <alignment horizontal="right" vertical="center"/>
    </xf>
    <xf numFmtId="40" fontId="5" fillId="0" borderId="34" xfId="0" applyNumberFormat="1" applyFont="1" applyBorder="1" applyAlignment="1">
      <alignment horizontal="left" vertical="center"/>
    </xf>
    <xf numFmtId="2" fontId="3" fillId="0" borderId="16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40" fontId="3" fillId="0" borderId="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0" fontId="8" fillId="0" borderId="3" xfId="0" applyNumberFormat="1" applyFont="1" applyBorder="1" applyAlignment="1">
      <alignment vertical="center"/>
    </xf>
    <xf numFmtId="40" fontId="3" fillId="0" borderId="3" xfId="0" applyNumberFormat="1" applyFont="1" applyBorder="1" applyAlignment="1">
      <alignment vertical="center" wrapText="1"/>
    </xf>
    <xf numFmtId="40" fontId="3" fillId="0" borderId="2" xfId="0" applyNumberFormat="1" applyFont="1" applyBorder="1" applyAlignment="1">
      <alignment vertical="center" wrapText="1"/>
    </xf>
    <xf numFmtId="40" fontId="3" fillId="0" borderId="4" xfId="0" applyNumberFormat="1" applyFont="1" applyBorder="1" applyAlignment="1">
      <alignment vertical="center" wrapText="1"/>
    </xf>
    <xf numFmtId="40" fontId="3" fillId="0" borderId="12" xfId="0" applyNumberFormat="1" applyFont="1" applyBorder="1" applyAlignment="1">
      <alignment vertical="center" wrapText="1"/>
    </xf>
    <xf numFmtId="40" fontId="3" fillId="0" borderId="10" xfId="0" applyNumberFormat="1" applyFont="1" applyBorder="1" applyAlignment="1">
      <alignment vertical="center" wrapText="1"/>
    </xf>
    <xf numFmtId="40" fontId="3" fillId="0" borderId="5" xfId="0" applyNumberFormat="1" applyFont="1" applyBorder="1" applyAlignment="1">
      <alignment vertical="center" wrapText="1"/>
    </xf>
    <xf numFmtId="40" fontId="8" fillId="0" borderId="34" xfId="0" applyNumberFormat="1" applyFont="1" applyBorder="1" applyAlignment="1">
      <alignment vertical="center" wrapText="1"/>
    </xf>
    <xf numFmtId="40" fontId="8" fillId="0" borderId="34" xfId="0" applyNumberFormat="1" applyFont="1" applyBorder="1" applyAlignment="1">
      <alignment vertical="center"/>
    </xf>
    <xf numFmtId="40" fontId="8" fillId="0" borderId="16" xfId="0" applyNumberFormat="1" applyFont="1" applyBorder="1" applyAlignment="1">
      <alignment vertical="center"/>
    </xf>
    <xf numFmtId="40" fontId="8" fillId="0" borderId="2" xfId="0" applyNumberFormat="1" applyFont="1" applyBorder="1" applyAlignment="1">
      <alignment vertical="center"/>
    </xf>
    <xf numFmtId="40" fontId="8" fillId="0" borderId="4" xfId="0" applyNumberFormat="1" applyFont="1" applyBorder="1" applyAlignment="1">
      <alignment vertical="center"/>
    </xf>
    <xf numFmtId="40" fontId="8" fillId="0" borderId="12" xfId="0" applyNumberFormat="1" applyFont="1" applyBorder="1" applyAlignment="1">
      <alignment vertical="center"/>
    </xf>
    <xf numFmtId="40" fontId="8" fillId="0" borderId="10" xfId="0" applyNumberFormat="1" applyFont="1" applyBorder="1" applyAlignment="1">
      <alignment vertical="center"/>
    </xf>
    <xf numFmtId="40" fontId="8" fillId="0" borderId="5" xfId="0" applyNumberFormat="1" applyFont="1" applyBorder="1" applyAlignment="1">
      <alignment vertical="center"/>
    </xf>
    <xf numFmtId="40" fontId="7" fillId="0" borderId="34" xfId="0" applyNumberFormat="1" applyFont="1" applyBorder="1" applyAlignment="1">
      <alignment vertical="center"/>
    </xf>
    <xf numFmtId="40" fontId="7" fillId="0" borderId="16" xfId="0" applyNumberFormat="1" applyFont="1" applyBorder="1" applyAlignment="1">
      <alignment vertical="center"/>
    </xf>
    <xf numFmtId="40" fontId="7" fillId="0" borderId="3" xfId="0" applyNumberFormat="1" applyFont="1" applyBorder="1" applyAlignment="1">
      <alignment vertical="center"/>
    </xf>
    <xf numFmtId="40" fontId="7" fillId="0" borderId="2" xfId="0" applyNumberFormat="1" applyFont="1" applyBorder="1" applyAlignment="1">
      <alignment vertical="center"/>
    </xf>
    <xf numFmtId="40" fontId="7" fillId="0" borderId="4" xfId="0" applyNumberFormat="1" applyFont="1" applyBorder="1" applyAlignment="1">
      <alignment vertical="center"/>
    </xf>
    <xf numFmtId="40" fontId="7" fillId="0" borderId="12" xfId="0" applyNumberFormat="1" applyFont="1" applyBorder="1" applyAlignment="1">
      <alignment vertical="center"/>
    </xf>
    <xf numFmtId="40" fontId="7" fillId="0" borderId="10" xfId="0" applyNumberFormat="1" applyFont="1" applyBorder="1" applyAlignment="1">
      <alignment vertical="center"/>
    </xf>
    <xf numFmtId="40" fontId="7" fillId="0" borderId="5" xfId="0" applyNumberFormat="1" applyFont="1" applyBorder="1" applyAlignment="1">
      <alignment vertical="center"/>
    </xf>
    <xf numFmtId="40" fontId="3" fillId="0" borderId="19" xfId="0" applyNumberFormat="1" applyFont="1" applyBorder="1" applyAlignment="1">
      <alignment vertical="center"/>
    </xf>
    <xf numFmtId="40" fontId="3" fillId="0" borderId="20" xfId="0" applyNumberFormat="1" applyFont="1" applyBorder="1" applyAlignment="1">
      <alignment vertical="center"/>
    </xf>
    <xf numFmtId="40" fontId="5" fillId="0" borderId="55" xfId="0" applyNumberFormat="1" applyFont="1" applyBorder="1" applyAlignment="1">
      <alignment vertical="center"/>
    </xf>
    <xf numFmtId="40" fontId="4" fillId="0" borderId="56" xfId="0" applyNumberFormat="1" applyFont="1" applyBorder="1" applyAlignment="1">
      <alignment vertical="center"/>
    </xf>
    <xf numFmtId="40" fontId="4" fillId="0" borderId="57" xfId="0" applyNumberFormat="1" applyFont="1" applyBorder="1" applyAlignment="1">
      <alignment vertical="center"/>
    </xf>
    <xf numFmtId="40" fontId="4" fillId="0" borderId="58" xfId="0" applyNumberFormat="1" applyFont="1" applyBorder="1" applyAlignment="1">
      <alignment vertical="center"/>
    </xf>
    <xf numFmtId="40" fontId="4" fillId="0" borderId="59" xfId="0" applyNumberFormat="1" applyFont="1" applyBorder="1" applyAlignment="1">
      <alignment vertical="center"/>
    </xf>
    <xf numFmtId="40" fontId="4" fillId="0" borderId="60" xfId="0" applyNumberFormat="1" applyFont="1" applyBorder="1" applyAlignment="1">
      <alignment vertical="center"/>
    </xf>
    <xf numFmtId="40" fontId="4" fillId="0" borderId="61" xfId="0" applyNumberFormat="1" applyFont="1" applyBorder="1" applyAlignment="1">
      <alignment vertical="center"/>
    </xf>
    <xf numFmtId="40" fontId="5" fillId="2" borderId="62" xfId="0" applyNumberFormat="1" applyFont="1" applyFill="1" applyBorder="1" applyAlignment="1">
      <alignment vertical="center"/>
    </xf>
    <xf numFmtId="40" fontId="5" fillId="2" borderId="63" xfId="0" applyNumberFormat="1" applyFont="1" applyFill="1" applyBorder="1" applyAlignment="1">
      <alignment vertical="center"/>
    </xf>
    <xf numFmtId="40" fontId="4" fillId="0" borderId="16" xfId="0" applyNumberFormat="1" applyFont="1" applyBorder="1" applyAlignment="1">
      <alignment vertical="center"/>
    </xf>
    <xf numFmtId="40" fontId="4" fillId="0" borderId="4" xfId="0" applyNumberFormat="1" applyFont="1" applyBorder="1" applyAlignment="1">
      <alignment vertical="center"/>
    </xf>
    <xf numFmtId="40" fontId="4" fillId="0" borderId="5" xfId="0" applyNumberFormat="1" applyFont="1" applyBorder="1" applyAlignment="1">
      <alignment vertical="center"/>
    </xf>
    <xf numFmtId="40" fontId="3" fillId="0" borderId="27" xfId="0" applyNumberFormat="1" applyFont="1" applyBorder="1" applyAlignment="1">
      <alignment horizontal="right" vertical="center"/>
    </xf>
    <xf numFmtId="40" fontId="4" fillId="0" borderId="28" xfId="0" applyNumberFormat="1" applyFont="1" applyBorder="1" applyAlignment="1">
      <alignment vertical="center"/>
    </xf>
    <xf numFmtId="40" fontId="4" fillId="0" borderId="29" xfId="0" applyNumberFormat="1" applyFont="1" applyBorder="1" applyAlignment="1">
      <alignment vertical="center"/>
    </xf>
    <xf numFmtId="40" fontId="4" fillId="0" borderId="64" xfId="0" applyNumberFormat="1" applyFont="1" applyBorder="1" applyAlignment="1">
      <alignment vertical="center"/>
    </xf>
    <xf numFmtId="40" fontId="4" fillId="0" borderId="65" xfId="0" applyNumberFormat="1" applyFont="1" applyBorder="1" applyAlignment="1">
      <alignment vertical="center"/>
    </xf>
    <xf numFmtId="40" fontId="4" fillId="0" borderId="32" xfId="0" applyNumberFormat="1" applyFont="1" applyBorder="1" applyAlignment="1">
      <alignment vertical="center"/>
    </xf>
    <xf numFmtId="40" fontId="4" fillId="0" borderId="33" xfId="0" applyNumberFormat="1" applyFont="1" applyBorder="1" applyAlignment="1">
      <alignment vertical="center"/>
    </xf>
    <xf numFmtId="40" fontId="4" fillId="0" borderId="66" xfId="0" applyNumberFormat="1" applyFont="1" applyBorder="1" applyAlignment="1">
      <alignment vertical="center"/>
    </xf>
    <xf numFmtId="0" fontId="3" fillId="3" borderId="67" xfId="0" applyFont="1" applyFill="1" applyBorder="1" applyAlignment="1">
      <alignment vertical="center"/>
    </xf>
    <xf numFmtId="0" fontId="3" fillId="3" borderId="68" xfId="0" applyFont="1" applyFill="1" applyBorder="1" applyAlignment="1">
      <alignment vertical="center"/>
    </xf>
    <xf numFmtId="0" fontId="3" fillId="3" borderId="69" xfId="0" applyFont="1" applyFill="1" applyBorder="1" applyAlignment="1">
      <alignment vertical="center"/>
    </xf>
    <xf numFmtId="0" fontId="3" fillId="3" borderId="70" xfId="0" applyFont="1" applyFill="1" applyBorder="1" applyAlignment="1">
      <alignment vertical="center"/>
    </xf>
    <xf numFmtId="0" fontId="3" fillId="3" borderId="71" xfId="0" applyFont="1" applyFill="1" applyBorder="1" applyAlignment="1">
      <alignment vertical="center"/>
    </xf>
    <xf numFmtId="40" fontId="3" fillId="0" borderId="13" xfId="0" applyNumberFormat="1" applyFont="1" applyBorder="1" applyAlignment="1">
      <alignment vertical="center"/>
    </xf>
    <xf numFmtId="40" fontId="3" fillId="0" borderId="9" xfId="0" applyNumberFormat="1" applyFont="1" applyBorder="1" applyAlignment="1">
      <alignment vertical="center"/>
    </xf>
    <xf numFmtId="40" fontId="3" fillId="0" borderId="72" xfId="0" applyNumberFormat="1" applyFont="1" applyBorder="1" applyAlignment="1">
      <alignment vertical="center"/>
    </xf>
    <xf numFmtId="40" fontId="3" fillId="0" borderId="15" xfId="0" applyNumberFormat="1" applyFont="1" applyBorder="1" applyAlignment="1">
      <alignment vertical="center"/>
    </xf>
    <xf numFmtId="40" fontId="3" fillId="0" borderId="73" xfId="0" applyNumberFormat="1" applyFont="1" applyBorder="1" applyAlignment="1">
      <alignment vertical="center"/>
    </xf>
    <xf numFmtId="40" fontId="3" fillId="0" borderId="74" xfId="0" applyNumberFormat="1" applyFont="1" applyBorder="1" applyAlignment="1">
      <alignment vertical="center"/>
    </xf>
    <xf numFmtId="40" fontId="3" fillId="0" borderId="68" xfId="0" applyNumberFormat="1" applyFont="1" applyBorder="1" applyAlignment="1">
      <alignment vertical="center"/>
    </xf>
    <xf numFmtId="40" fontId="3" fillId="0" borderId="75" xfId="0" applyNumberFormat="1" applyFont="1" applyBorder="1" applyAlignment="1">
      <alignment vertical="center"/>
    </xf>
    <xf numFmtId="40" fontId="3" fillId="0" borderId="76" xfId="0" applyNumberFormat="1" applyFont="1" applyBorder="1" applyAlignment="1">
      <alignment horizontal="right" vertical="center"/>
    </xf>
    <xf numFmtId="165" fontId="3" fillId="0" borderId="22" xfId="0" applyNumberFormat="1" applyFont="1" applyBorder="1" applyAlignment="1">
      <alignment vertical="center"/>
    </xf>
    <xf numFmtId="165" fontId="3" fillId="0" borderId="20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3" fillId="0" borderId="24" xfId="0" applyNumberFormat="1" applyFont="1" applyBorder="1" applyAlignment="1">
      <alignment vertical="center"/>
    </xf>
    <xf numFmtId="165" fontId="3" fillId="0" borderId="77" xfId="0" applyNumberFormat="1" applyFont="1" applyBorder="1" applyAlignment="1">
      <alignment vertical="center"/>
    </xf>
    <xf numFmtId="165" fontId="3" fillId="0" borderId="78" xfId="0" applyNumberFormat="1" applyFont="1" applyBorder="1" applyAlignment="1">
      <alignment vertical="center"/>
    </xf>
    <xf numFmtId="165" fontId="3" fillId="0" borderId="79" xfId="0" applyNumberFormat="1" applyFont="1" applyBorder="1" applyAlignment="1">
      <alignment vertical="center"/>
    </xf>
    <xf numFmtId="0" fontId="9" fillId="2" borderId="80" xfId="0" applyFont="1" applyFill="1" applyBorder="1" applyAlignment="1">
      <alignment vertical="center"/>
    </xf>
    <xf numFmtId="0" fontId="3" fillId="3" borderId="81" xfId="0" applyFont="1" applyFill="1" applyBorder="1" applyAlignment="1">
      <alignment vertical="center"/>
    </xf>
    <xf numFmtId="0" fontId="3" fillId="3" borderId="82" xfId="0" applyFont="1" applyFill="1" applyBorder="1" applyAlignment="1">
      <alignment vertical="center"/>
    </xf>
    <xf numFmtId="0" fontId="3" fillId="3" borderId="83" xfId="0" applyFont="1" applyFill="1" applyBorder="1" applyAlignment="1">
      <alignment vertical="center"/>
    </xf>
    <xf numFmtId="0" fontId="3" fillId="3" borderId="84" xfId="0" applyFont="1" applyFill="1" applyBorder="1" applyAlignment="1">
      <alignment vertical="center"/>
    </xf>
    <xf numFmtId="165" fontId="3" fillId="0" borderId="16" xfId="0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3" fillId="0" borderId="4" xfId="0" applyNumberFormat="1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5" fontId="3" fillId="0" borderId="54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5" fontId="3" fillId="0" borderId="85" xfId="0" applyNumberFormat="1" applyFont="1" applyBorder="1" applyAlignment="1">
      <alignment vertical="center"/>
    </xf>
    <xf numFmtId="165" fontId="3" fillId="0" borderId="86" xfId="0" applyNumberFormat="1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5" fontId="3" fillId="0" borderId="87" xfId="0" applyNumberFormat="1" applyFont="1" applyBorder="1" applyAlignment="1">
      <alignment vertical="center"/>
    </xf>
    <xf numFmtId="165" fontId="3" fillId="0" borderId="28" xfId="0" applyNumberFormat="1" applyFont="1" applyBorder="1" applyAlignment="1">
      <alignment vertical="center"/>
    </xf>
    <xf numFmtId="165" fontId="3" fillId="0" borderId="29" xfId="0" applyNumberFormat="1" applyFont="1" applyBorder="1" applyAlignment="1">
      <alignment vertical="center"/>
    </xf>
    <xf numFmtId="165" fontId="3" fillId="0" borderId="64" xfId="0" applyNumberFormat="1" applyFont="1" applyBorder="1" applyAlignment="1">
      <alignment vertical="center"/>
    </xf>
    <xf numFmtId="165" fontId="3" fillId="0" borderId="65" xfId="0" applyNumberFormat="1" applyFont="1" applyBorder="1" applyAlignment="1">
      <alignment vertical="center"/>
    </xf>
    <xf numFmtId="165" fontId="3" fillId="0" borderId="32" xfId="0" applyNumberFormat="1" applyFont="1" applyBorder="1" applyAlignment="1">
      <alignment vertical="center"/>
    </xf>
    <xf numFmtId="165" fontId="3" fillId="0" borderId="88" xfId="0" applyNumberFormat="1" applyFont="1" applyBorder="1" applyAlignment="1">
      <alignment vertical="center"/>
    </xf>
    <xf numFmtId="165" fontId="3" fillId="0" borderId="89" xfId="0" applyNumberFormat="1" applyFont="1" applyBorder="1" applyAlignment="1">
      <alignment vertical="center"/>
    </xf>
    <xf numFmtId="165" fontId="3" fillId="0" borderId="90" xfId="0" applyNumberFormat="1" applyFont="1" applyBorder="1" applyAlignment="1">
      <alignment vertical="center"/>
    </xf>
    <xf numFmtId="4" fontId="4" fillId="0" borderId="10" xfId="0" applyNumberFormat="1" applyFont="1" applyBorder="1" applyAlignment="1">
      <alignment horizontal="right" vertical="center"/>
    </xf>
    <xf numFmtId="4" fontId="4" fillId="0" borderId="9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4" fontId="11" fillId="0" borderId="91" xfId="0" applyNumberFormat="1" applyFont="1" applyFill="1" applyBorder="1" applyAlignment="1">
      <alignment horizontal="right" vertical="center"/>
    </xf>
    <xf numFmtId="40" fontId="3" fillId="0" borderId="25" xfId="0" applyNumberFormat="1" applyFont="1" applyBorder="1" applyAlignment="1">
      <alignment vertical="center"/>
    </xf>
    <xf numFmtId="40" fontId="3" fillId="0" borderId="22" xfId="0" applyNumberFormat="1" applyFont="1" applyBorder="1" applyAlignment="1">
      <alignment vertical="center"/>
    </xf>
    <xf numFmtId="0" fontId="4" fillId="0" borderId="72" xfId="0" applyFont="1" applyBorder="1" applyAlignment="1">
      <alignment horizontal="right" vertical="center"/>
    </xf>
    <xf numFmtId="4" fontId="4" fillId="0" borderId="72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164" fontId="3" fillId="0" borderId="93" xfId="0" applyNumberFormat="1" applyFont="1" applyBorder="1" applyAlignment="1">
      <alignment vertical="center"/>
    </xf>
    <xf numFmtId="40" fontId="3" fillId="0" borderId="94" xfId="0" applyNumberFormat="1" applyFont="1" applyBorder="1" applyAlignment="1">
      <alignment vertical="center"/>
    </xf>
    <xf numFmtId="40" fontId="3" fillId="0" borderId="95" xfId="0" applyNumberFormat="1" applyFont="1" applyBorder="1" applyAlignment="1">
      <alignment vertical="center"/>
    </xf>
    <xf numFmtId="40" fontId="3" fillId="0" borderId="96" xfId="0" applyNumberFormat="1" applyFont="1" applyBorder="1" applyAlignment="1">
      <alignment vertical="center"/>
    </xf>
    <xf numFmtId="40" fontId="3" fillId="0" borderId="93" xfId="0" applyNumberFormat="1" applyFont="1" applyBorder="1" applyAlignment="1">
      <alignment vertical="center"/>
    </xf>
    <xf numFmtId="4" fontId="4" fillId="0" borderId="97" xfId="0" applyNumberFormat="1" applyFont="1" applyBorder="1" applyAlignment="1">
      <alignment horizontal="center" vertical="center"/>
    </xf>
    <xf numFmtId="4" fontId="4" fillId="0" borderId="98" xfId="0" applyNumberFormat="1" applyFont="1" applyBorder="1" applyAlignment="1">
      <alignment horizontal="center" vertical="center"/>
    </xf>
    <xf numFmtId="4" fontId="4" fillId="0" borderId="99" xfId="0" applyNumberFormat="1" applyFont="1" applyBorder="1" applyAlignment="1">
      <alignment horizontal="center" vertical="center"/>
    </xf>
    <xf numFmtId="4" fontId="4" fillId="0" borderId="100" xfId="0" applyNumberFormat="1" applyFont="1" applyBorder="1" applyAlignment="1">
      <alignment horizontal="center" vertical="center"/>
    </xf>
    <xf numFmtId="4" fontId="11" fillId="0" borderId="101" xfId="0" applyNumberFormat="1" applyFont="1" applyFill="1" applyBorder="1" applyAlignment="1">
      <alignment horizontal="center" vertical="center"/>
    </xf>
    <xf numFmtId="2" fontId="3" fillId="0" borderId="94" xfId="0" applyNumberFormat="1" applyFont="1" applyBorder="1" applyAlignment="1">
      <alignment vertical="center"/>
    </xf>
    <xf numFmtId="0" fontId="3" fillId="0" borderId="94" xfId="0" applyFont="1" applyBorder="1" applyAlignment="1">
      <alignment vertical="center"/>
    </xf>
    <xf numFmtId="40" fontId="3" fillId="0" borderId="94" xfId="0" applyNumberFormat="1" applyFont="1" applyBorder="1" applyAlignment="1">
      <alignment vertical="center" wrapText="1"/>
    </xf>
    <xf numFmtId="40" fontId="8" fillId="0" borderId="94" xfId="0" applyNumberFormat="1" applyFont="1" applyBorder="1" applyAlignment="1">
      <alignment vertical="center"/>
    </xf>
    <xf numFmtId="40" fontId="7" fillId="0" borderId="94" xfId="0" applyNumberFormat="1" applyFont="1" applyBorder="1" applyAlignment="1">
      <alignment vertical="center"/>
    </xf>
    <xf numFmtId="40" fontId="4" fillId="0" borderId="102" xfId="0" applyNumberFormat="1" applyFont="1" applyBorder="1" applyAlignment="1">
      <alignment vertical="center"/>
    </xf>
    <xf numFmtId="0" fontId="3" fillId="3" borderId="103" xfId="0" applyFont="1" applyFill="1" applyBorder="1" applyAlignment="1">
      <alignment vertical="center"/>
    </xf>
    <xf numFmtId="40" fontId="4" fillId="0" borderId="94" xfId="0" applyNumberFormat="1" applyFont="1" applyBorder="1" applyAlignment="1">
      <alignment vertical="center"/>
    </xf>
    <xf numFmtId="40" fontId="4" fillId="0" borderId="104" xfId="0" applyNumberFormat="1" applyFont="1" applyBorder="1" applyAlignment="1">
      <alignment vertical="center"/>
    </xf>
    <xf numFmtId="0" fontId="3" fillId="3" borderId="105" xfId="0" applyFont="1" applyFill="1" applyBorder="1" applyAlignment="1">
      <alignment vertical="center"/>
    </xf>
    <xf numFmtId="40" fontId="3" fillId="0" borderId="106" xfId="0" applyNumberFormat="1" applyFont="1" applyBorder="1" applyAlignment="1">
      <alignment vertical="center"/>
    </xf>
    <xf numFmtId="40" fontId="3" fillId="0" borderId="107" xfId="0" applyNumberFormat="1" applyFont="1" applyBorder="1" applyAlignment="1">
      <alignment vertical="center"/>
    </xf>
    <xf numFmtId="165" fontId="3" fillId="0" borderId="108" xfId="0" applyNumberFormat="1" applyFont="1" applyBorder="1" applyAlignment="1">
      <alignment vertical="center"/>
    </xf>
    <xf numFmtId="0" fontId="3" fillId="3" borderId="109" xfId="0" applyFont="1" applyFill="1" applyBorder="1" applyAlignment="1">
      <alignment vertical="center"/>
    </xf>
    <xf numFmtId="165" fontId="3" fillId="0" borderId="110" xfId="0" applyNumberFormat="1" applyFont="1" applyBorder="1" applyAlignment="1">
      <alignment vertical="center"/>
    </xf>
    <xf numFmtId="165" fontId="3" fillId="0" borderId="111" xfId="0" applyNumberFormat="1" applyFont="1" applyBorder="1" applyAlignment="1">
      <alignment vertical="center"/>
    </xf>
    <xf numFmtId="165" fontId="3" fillId="0" borderId="112" xfId="0" applyNumberFormat="1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11" fillId="0" borderId="91" xfId="0" applyFont="1" applyFill="1" applyBorder="1" applyAlignment="1">
      <alignment horizontal="right" vertical="center"/>
    </xf>
    <xf numFmtId="0" fontId="3" fillId="0" borderId="113" xfId="0" applyFont="1" applyBorder="1" applyAlignment="1">
      <alignment horizontal="center" vertical="center"/>
    </xf>
    <xf numFmtId="40" fontId="3" fillId="0" borderId="114" xfId="0" applyNumberFormat="1" applyFont="1" applyBorder="1" applyAlignment="1">
      <alignment horizontal="right" vertical="center"/>
    </xf>
    <xf numFmtId="40" fontId="3" fillId="0" borderId="115" xfId="0" applyNumberFormat="1" applyFont="1" applyBorder="1" applyAlignment="1">
      <alignment horizontal="right" vertical="center"/>
    </xf>
    <xf numFmtId="40" fontId="3" fillId="0" borderId="116" xfId="0" applyNumberFormat="1" applyFont="1" applyBorder="1" applyAlignment="1">
      <alignment horizontal="right" vertical="center"/>
    </xf>
    <xf numFmtId="40" fontId="3" fillId="0" borderId="117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center" vertical="center"/>
    </xf>
    <xf numFmtId="40" fontId="3" fillId="0" borderId="65" xfId="0" applyNumberFormat="1" applyFont="1" applyBorder="1" applyAlignment="1">
      <alignment horizontal="center" vertical="center"/>
    </xf>
    <xf numFmtId="40" fontId="3" fillId="0" borderId="118" xfId="0" applyNumberFormat="1" applyFont="1" applyBorder="1" applyAlignment="1">
      <alignment vertical="center"/>
    </xf>
    <xf numFmtId="40" fontId="10" fillId="0" borderId="91" xfId="0" applyNumberFormat="1" applyFont="1" applyFill="1" applyBorder="1" applyAlignment="1">
      <alignment horizontal="right" vertical="center"/>
    </xf>
    <xf numFmtId="40" fontId="10" fillId="0" borderId="8" xfId="0" applyNumberFormat="1" applyFont="1" applyFill="1" applyBorder="1" applyAlignment="1">
      <alignment horizontal="right" vertical="center"/>
    </xf>
    <xf numFmtId="40" fontId="8" fillId="0" borderId="119" xfId="0" applyNumberFormat="1" applyFont="1" applyBorder="1" applyAlignment="1">
      <alignment vertical="center"/>
    </xf>
    <xf numFmtId="40" fontId="3" fillId="0" borderId="23" xfId="0" applyNumberFormat="1" applyFont="1" applyBorder="1" applyAlignment="1">
      <alignment vertical="center"/>
    </xf>
    <xf numFmtId="40" fontId="3" fillId="0" borderId="65" xfId="0" applyNumberFormat="1" applyFont="1" applyBorder="1" applyAlignment="1">
      <alignment vertical="center"/>
    </xf>
    <xf numFmtId="40" fontId="3" fillId="2" borderId="120" xfId="0" applyNumberFormat="1" applyFont="1" applyFill="1" applyBorder="1" applyAlignment="1">
      <alignment horizontal="center" vertical="center"/>
    </xf>
    <xf numFmtId="0" fontId="4" fillId="0" borderId="121" xfId="0" applyFont="1" applyBorder="1" applyAlignment="1">
      <alignment vertical="center"/>
    </xf>
    <xf numFmtId="0" fontId="4" fillId="0" borderId="80" xfId="0" applyFont="1" applyBorder="1" applyAlignment="1">
      <alignment vertical="center"/>
    </xf>
    <xf numFmtId="40" fontId="3" fillId="0" borderId="122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40" fontId="4" fillId="2" borderId="123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24" xfId="0" applyFont="1" applyBorder="1" applyAlignment="1">
      <alignment vertical="center"/>
    </xf>
    <xf numFmtId="40" fontId="4" fillId="2" borderId="125" xfId="0" applyNumberFormat="1" applyFont="1" applyFill="1" applyBorder="1" applyAlignment="1">
      <alignment horizontal="center" vertical="center"/>
    </xf>
    <xf numFmtId="0" fontId="4" fillId="0" borderId="126" xfId="0" applyFont="1" applyBorder="1" applyAlignment="1">
      <alignment vertical="center"/>
    </xf>
    <xf numFmtId="0" fontId="4" fillId="0" borderId="127" xfId="0" applyFont="1" applyBorder="1" applyAlignment="1">
      <alignment vertical="center"/>
    </xf>
    <xf numFmtId="40" fontId="3" fillId="2" borderId="128" xfId="0" applyNumberFormat="1" applyFont="1" applyFill="1" applyBorder="1" applyAlignment="1">
      <alignment horizontal="center" vertical="center"/>
    </xf>
    <xf numFmtId="0" fontId="4" fillId="0" borderId="129" xfId="0" applyFont="1" applyBorder="1" applyAlignment="1">
      <alignment vertical="center"/>
    </xf>
    <xf numFmtId="0" fontId="4" fillId="0" borderId="130" xfId="0" applyFont="1" applyBorder="1" applyAlignment="1">
      <alignment vertical="center"/>
    </xf>
    <xf numFmtId="40" fontId="4" fillId="0" borderId="131" xfId="0" applyNumberFormat="1" applyFont="1" applyBorder="1" applyAlignment="1">
      <alignment horizontal="center" vertical="center"/>
    </xf>
    <xf numFmtId="0" fontId="4" fillId="0" borderId="132" xfId="0" applyFont="1" applyBorder="1" applyAlignment="1">
      <alignment vertical="center"/>
    </xf>
    <xf numFmtId="40" fontId="3" fillId="0" borderId="121" xfId="0" applyNumberFormat="1" applyFont="1" applyBorder="1" applyAlignment="1">
      <alignment horizontal="center" vertical="center"/>
    </xf>
    <xf numFmtId="40" fontId="3" fillId="0" borderId="120" xfId="0" applyNumberFormat="1" applyFont="1" applyBorder="1" applyAlignment="1">
      <alignment horizontal="center" vertical="center"/>
    </xf>
    <xf numFmtId="0" fontId="4" fillId="0" borderId="13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34" xfId="0" applyFont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3" fillId="2" borderId="120" xfId="0" applyFont="1" applyFill="1" applyBorder="1" applyAlignment="1">
      <alignment horizontal="center" vertical="center"/>
    </xf>
    <xf numFmtId="0" fontId="0" fillId="0" borderId="136" xfId="0" applyFont="1" applyBorder="1" applyAlignment="1">
      <alignment horizontal="center"/>
    </xf>
    <xf numFmtId="0" fontId="1" fillId="0" borderId="137" xfId="0" applyFont="1" applyBorder="1"/>
    <xf numFmtId="0" fontId="1" fillId="0" borderId="138" xfId="0" applyFont="1" applyBorder="1"/>
    <xf numFmtId="40" fontId="3" fillId="0" borderId="17" xfId="0" applyNumberFormat="1" applyFont="1" applyBorder="1" applyAlignment="1">
      <alignment vertical="center"/>
    </xf>
    <xf numFmtId="40" fontId="0" fillId="0" borderId="14" xfId="0" applyNumberFormat="1" applyFont="1" applyBorder="1"/>
    <xf numFmtId="0" fontId="0" fillId="0" borderId="140" xfId="0" applyFont="1" applyBorder="1" applyAlignment="1">
      <alignment horizontal="center"/>
    </xf>
    <xf numFmtId="0" fontId="1" fillId="0" borderId="139" xfId="0" applyFont="1" applyBorder="1"/>
    <xf numFmtId="0" fontId="1" fillId="0" borderId="141" xfId="0" applyFont="1" applyBorder="1"/>
    <xf numFmtId="0" fontId="0" fillId="0" borderId="14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tabSelected="1" topLeftCell="A20" zoomScale="60" zoomScaleNormal="60" workbookViewId="0">
      <selection activeCell="AD14" sqref="AD14"/>
    </sheetView>
  </sheetViews>
  <sheetFormatPr defaultColWidth="14.42578125" defaultRowHeight="15" customHeight="1" x14ac:dyDescent="0.25"/>
  <cols>
    <col min="1" max="1" width="41.140625" customWidth="1"/>
    <col min="2" max="2" width="16.140625" customWidth="1"/>
    <col min="3" max="8" width="12.7109375" customWidth="1"/>
    <col min="9" max="9" width="14.28515625" customWidth="1"/>
    <col min="10" max="10" width="13.42578125" customWidth="1"/>
    <col min="11" max="11" width="13.85546875" customWidth="1"/>
    <col min="12" max="17" width="14.28515625" customWidth="1"/>
    <col min="18" max="19" width="13.42578125" customWidth="1"/>
    <col min="20" max="21" width="13.85546875" customWidth="1"/>
    <col min="22" max="23" width="13.140625" customWidth="1"/>
    <col min="24" max="24" width="14.28515625" customWidth="1"/>
    <col min="25" max="25" width="13.85546875" customWidth="1"/>
    <col min="26" max="29" width="8.7109375" customWidth="1"/>
  </cols>
  <sheetData>
    <row r="1" spans="1:29" x14ac:dyDescent="0.25">
      <c r="A1" s="253"/>
      <c r="B1" s="267" t="s">
        <v>0</v>
      </c>
      <c r="C1" s="251"/>
      <c r="D1" s="251"/>
      <c r="E1" s="251"/>
      <c r="F1" s="251"/>
      <c r="G1" s="251"/>
      <c r="H1" s="251"/>
      <c r="I1" s="251"/>
      <c r="J1" s="251"/>
      <c r="K1" s="268"/>
      <c r="L1" s="264" t="s">
        <v>1</v>
      </c>
      <c r="M1" s="251"/>
      <c r="N1" s="251"/>
      <c r="O1" s="265"/>
      <c r="P1" s="266" t="s">
        <v>2</v>
      </c>
      <c r="Q1" s="251"/>
      <c r="R1" s="251"/>
      <c r="S1" s="251"/>
      <c r="T1" s="251"/>
      <c r="U1" s="251"/>
      <c r="V1" s="251"/>
      <c r="W1" s="251"/>
      <c r="X1" s="251"/>
      <c r="Y1" s="252"/>
    </row>
    <row r="2" spans="1:29" x14ac:dyDescent="0.25">
      <c r="A2" s="254"/>
      <c r="B2" s="34">
        <v>1</v>
      </c>
      <c r="C2" s="35">
        <v>2</v>
      </c>
      <c r="D2" s="35">
        <v>3</v>
      </c>
      <c r="E2" s="35">
        <v>4</v>
      </c>
      <c r="F2" s="35">
        <v>5</v>
      </c>
      <c r="G2" s="35">
        <v>6</v>
      </c>
      <c r="H2" s="35">
        <v>7</v>
      </c>
      <c r="I2" s="8">
        <v>8</v>
      </c>
      <c r="J2" s="5">
        <v>9</v>
      </c>
      <c r="K2" s="6">
        <v>10</v>
      </c>
      <c r="L2" s="7"/>
      <c r="M2" s="7"/>
      <c r="N2" s="7"/>
      <c r="O2" s="8"/>
      <c r="P2" s="11">
        <v>1</v>
      </c>
      <c r="Q2" s="28">
        <v>2</v>
      </c>
      <c r="R2" s="10">
        <v>3</v>
      </c>
      <c r="S2" s="11">
        <v>4</v>
      </c>
      <c r="T2" s="237">
        <v>5</v>
      </c>
      <c r="U2" s="206">
        <v>6</v>
      </c>
      <c r="V2" s="207">
        <v>7</v>
      </c>
      <c r="W2" s="6">
        <v>8</v>
      </c>
      <c r="X2" s="6">
        <v>9</v>
      </c>
      <c r="Y2" s="9">
        <v>10</v>
      </c>
    </row>
    <row r="3" spans="1:29" x14ac:dyDescent="0.25">
      <c r="A3" s="254"/>
      <c r="B3" s="271" t="s">
        <v>3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72"/>
      <c r="V3" s="269" t="s">
        <v>4</v>
      </c>
      <c r="W3" s="269"/>
      <c r="X3" s="269"/>
      <c r="Y3" s="270"/>
    </row>
    <row r="4" spans="1:29" x14ac:dyDescent="0.25">
      <c r="A4" s="36" t="s">
        <v>5</v>
      </c>
      <c r="B4" s="37">
        <v>43108</v>
      </c>
      <c r="C4" s="38">
        <v>43115</v>
      </c>
      <c r="D4" s="39">
        <v>43122</v>
      </c>
      <c r="E4" s="40">
        <v>43129</v>
      </c>
      <c r="F4" s="39">
        <v>43136</v>
      </c>
      <c r="G4" s="41">
        <v>43143</v>
      </c>
      <c r="H4" s="41">
        <v>43150</v>
      </c>
      <c r="I4" s="242">
        <v>43157</v>
      </c>
      <c r="J4" s="42">
        <v>43164</v>
      </c>
      <c r="K4" s="43">
        <v>43171</v>
      </c>
      <c r="L4" s="43">
        <v>43178</v>
      </c>
      <c r="M4" s="43">
        <v>43185</v>
      </c>
      <c r="N4" s="43">
        <v>43192</v>
      </c>
      <c r="O4" s="44">
        <v>43199</v>
      </c>
      <c r="P4" s="45">
        <v>43206</v>
      </c>
      <c r="Q4" s="46">
        <v>43213</v>
      </c>
      <c r="R4" s="46">
        <v>43220</v>
      </c>
      <c r="S4" s="45">
        <v>43227</v>
      </c>
      <c r="T4" s="42">
        <v>43234</v>
      </c>
      <c r="U4" s="208">
        <v>43241</v>
      </c>
      <c r="V4" s="42">
        <v>43248</v>
      </c>
      <c r="W4" s="43">
        <v>43255</v>
      </c>
      <c r="X4" s="43">
        <v>43262</v>
      </c>
      <c r="Y4" s="47">
        <v>43269</v>
      </c>
    </row>
    <row r="5" spans="1:29" x14ac:dyDescent="0.25">
      <c r="A5" s="48"/>
      <c r="B5" s="49" t="s">
        <v>6</v>
      </c>
      <c r="C5" s="50" t="s">
        <v>6</v>
      </c>
      <c r="D5" s="51" t="s">
        <v>6</v>
      </c>
      <c r="E5" s="50" t="s">
        <v>6</v>
      </c>
      <c r="F5" s="52" t="s">
        <v>6</v>
      </c>
      <c r="G5" s="52" t="s">
        <v>6</v>
      </c>
      <c r="H5" s="52" t="s">
        <v>6</v>
      </c>
      <c r="I5" s="243" t="s">
        <v>6</v>
      </c>
      <c r="J5" s="54" t="s">
        <v>6</v>
      </c>
      <c r="K5" s="239" t="s">
        <v>6</v>
      </c>
      <c r="L5" s="240" t="s">
        <v>6</v>
      </c>
      <c r="M5" s="53" t="s">
        <v>6</v>
      </c>
      <c r="N5" s="239" t="s">
        <v>6</v>
      </c>
      <c r="O5" s="53" t="s">
        <v>6</v>
      </c>
      <c r="P5" s="53" t="s">
        <v>6</v>
      </c>
      <c r="Q5" s="53" t="s">
        <v>6</v>
      </c>
      <c r="R5" s="53" t="s">
        <v>6</v>
      </c>
      <c r="S5" s="53" t="s">
        <v>6</v>
      </c>
      <c r="T5" s="53" t="s">
        <v>6</v>
      </c>
      <c r="U5" s="238" t="s">
        <v>6</v>
      </c>
      <c r="V5" s="239" t="s">
        <v>6</v>
      </c>
      <c r="W5" s="240" t="s">
        <v>6</v>
      </c>
      <c r="X5" s="240" t="s">
        <v>6</v>
      </c>
      <c r="Y5" s="241" t="s">
        <v>6</v>
      </c>
    </row>
    <row r="6" spans="1:29" ht="16.5" customHeight="1" x14ac:dyDescent="0.25">
      <c r="A6" s="55" t="s">
        <v>7</v>
      </c>
      <c r="B6" s="250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2"/>
    </row>
    <row r="7" spans="1:29" ht="15.75" customHeight="1" x14ac:dyDescent="0.25">
      <c r="A7" s="56" t="s">
        <v>8</v>
      </c>
      <c r="B7" s="57"/>
      <c r="C7" s="58"/>
      <c r="D7" s="58"/>
      <c r="E7" s="58"/>
      <c r="F7" s="58"/>
      <c r="G7" s="58"/>
      <c r="H7" s="58"/>
      <c r="I7" s="61"/>
      <c r="J7" s="59"/>
      <c r="K7" s="60"/>
      <c r="L7" s="58"/>
      <c r="M7" s="58"/>
      <c r="N7" s="58"/>
      <c r="O7" s="61"/>
      <c r="P7" s="62"/>
      <c r="Q7" s="62"/>
      <c r="R7" s="63"/>
      <c r="S7" s="62"/>
      <c r="T7" s="64"/>
      <c r="U7" s="209"/>
      <c r="V7" s="64"/>
      <c r="W7" s="58"/>
      <c r="X7" s="58"/>
      <c r="Y7" s="65"/>
    </row>
    <row r="8" spans="1:29" x14ac:dyDescent="0.25">
      <c r="A8" s="66" t="s">
        <v>9</v>
      </c>
      <c r="B8" s="57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143">
        <v>125</v>
      </c>
      <c r="J8" s="59">
        <v>0</v>
      </c>
      <c r="K8" s="60">
        <v>0</v>
      </c>
      <c r="L8" s="58">
        <v>0</v>
      </c>
      <c r="M8" s="58">
        <v>0</v>
      </c>
      <c r="N8" s="58">
        <v>0</v>
      </c>
      <c r="O8" s="61">
        <v>0</v>
      </c>
      <c r="P8" s="62">
        <v>375</v>
      </c>
      <c r="Q8" s="62">
        <v>0</v>
      </c>
      <c r="R8" s="63">
        <v>0</v>
      </c>
      <c r="S8" s="62">
        <v>0</v>
      </c>
      <c r="T8" s="64">
        <v>0</v>
      </c>
      <c r="U8" s="209">
        <v>0</v>
      </c>
      <c r="V8" s="64">
        <v>0</v>
      </c>
      <c r="W8" s="58">
        <v>0</v>
      </c>
      <c r="X8" s="58">
        <v>0</v>
      </c>
      <c r="Y8" s="65">
        <v>0</v>
      </c>
    </row>
    <row r="9" spans="1:29" x14ac:dyDescent="0.25">
      <c r="A9" s="66" t="s">
        <v>10</v>
      </c>
      <c r="B9" s="57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143">
        <v>125</v>
      </c>
      <c r="J9" s="59">
        <v>0</v>
      </c>
      <c r="K9" s="60">
        <v>0</v>
      </c>
      <c r="L9" s="58">
        <v>0</v>
      </c>
      <c r="M9" s="58">
        <v>0</v>
      </c>
      <c r="N9" s="58">
        <v>0</v>
      </c>
      <c r="O9" s="61">
        <v>0</v>
      </c>
      <c r="P9" s="62">
        <v>375</v>
      </c>
      <c r="Q9" s="62">
        <v>0</v>
      </c>
      <c r="R9" s="63">
        <v>0</v>
      </c>
      <c r="S9" s="62">
        <v>0</v>
      </c>
      <c r="T9" s="64">
        <v>0</v>
      </c>
      <c r="U9" s="209">
        <v>0</v>
      </c>
      <c r="V9" s="64">
        <v>0</v>
      </c>
      <c r="W9" s="58">
        <v>0</v>
      </c>
      <c r="X9" s="58">
        <v>0</v>
      </c>
      <c r="Y9" s="65">
        <v>0</v>
      </c>
    </row>
    <row r="10" spans="1:29" x14ac:dyDescent="0.25">
      <c r="A10" s="67" t="s">
        <v>11</v>
      </c>
      <c r="B10" s="57">
        <f t="shared" ref="B10:G10" si="0">SUM(B8:B9)</f>
        <v>0</v>
      </c>
      <c r="C10" s="58">
        <f t="shared" si="0"/>
        <v>0</v>
      </c>
      <c r="D10" s="58">
        <f t="shared" si="0"/>
        <v>0</v>
      </c>
      <c r="E10" s="58">
        <f t="shared" si="0"/>
        <v>0</v>
      </c>
      <c r="F10" s="58">
        <f t="shared" si="0"/>
        <v>0</v>
      </c>
      <c r="G10" s="58">
        <f t="shared" si="0"/>
        <v>0</v>
      </c>
      <c r="H10" s="58">
        <v>0</v>
      </c>
      <c r="I10" s="61">
        <f>ROUND(SUM(I8:I9),2)</f>
        <v>250</v>
      </c>
      <c r="J10" s="64">
        <v>0</v>
      </c>
      <c r="K10" s="58">
        <v>0</v>
      </c>
      <c r="L10" s="58">
        <f>ROUND(SUM(L8:L9),2)</f>
        <v>0</v>
      </c>
      <c r="M10" s="58">
        <f>ROUND(SUM(M8:M9),2)</f>
        <v>0</v>
      </c>
      <c r="N10" s="58">
        <f>ROUND(SUM(N8:N9),2)</f>
        <v>0</v>
      </c>
      <c r="O10" s="61">
        <f>ROUND(SUM(O8:O9),2)</f>
        <v>0</v>
      </c>
      <c r="P10" s="62">
        <f>ROUND(SUM(P8:P9),2)</f>
        <v>750</v>
      </c>
      <c r="Q10" s="62">
        <v>0</v>
      </c>
      <c r="R10" s="63">
        <f t="shared" ref="R10:Y10" si="1">ROUND(SUM(R8:R9),2)</f>
        <v>0</v>
      </c>
      <c r="S10" s="62">
        <f t="shared" si="1"/>
        <v>0</v>
      </c>
      <c r="T10" s="64">
        <f t="shared" si="1"/>
        <v>0</v>
      </c>
      <c r="U10" s="209">
        <f t="shared" si="1"/>
        <v>0</v>
      </c>
      <c r="V10" s="64">
        <f t="shared" si="1"/>
        <v>0</v>
      </c>
      <c r="W10" s="58">
        <f t="shared" si="1"/>
        <v>0</v>
      </c>
      <c r="X10" s="58">
        <f t="shared" si="1"/>
        <v>0</v>
      </c>
      <c r="Y10" s="65">
        <f t="shared" si="1"/>
        <v>0</v>
      </c>
    </row>
    <row r="11" spans="1:29" x14ac:dyDescent="0.25">
      <c r="A11" s="36" t="s">
        <v>12</v>
      </c>
      <c r="B11" s="68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71">
        <v>30000</v>
      </c>
      <c r="J11" s="70">
        <v>0</v>
      </c>
      <c r="K11" s="69">
        <v>0</v>
      </c>
      <c r="L11" s="69">
        <v>0</v>
      </c>
      <c r="M11" s="69">
        <v>0</v>
      </c>
      <c r="N11" s="69">
        <v>0</v>
      </c>
      <c r="O11" s="71">
        <v>0</v>
      </c>
      <c r="P11" s="72">
        <v>20000</v>
      </c>
      <c r="Q11" s="72">
        <v>0</v>
      </c>
      <c r="R11" s="73">
        <v>0</v>
      </c>
      <c r="S11" s="72">
        <v>0</v>
      </c>
      <c r="T11" s="70">
        <v>0</v>
      </c>
      <c r="U11" s="210">
        <v>0</v>
      </c>
      <c r="V11" s="70">
        <v>0</v>
      </c>
      <c r="W11" s="69">
        <v>0</v>
      </c>
      <c r="X11" s="69">
        <v>0</v>
      </c>
      <c r="Y11" s="74">
        <v>0</v>
      </c>
    </row>
    <row r="12" spans="1:29" x14ac:dyDescent="0.25">
      <c r="A12" s="75" t="s">
        <v>13</v>
      </c>
      <c r="B12" s="76">
        <f t="shared" ref="B12:I12" si="2">SUM(B10:B11)</f>
        <v>0</v>
      </c>
      <c r="C12" s="77">
        <f t="shared" si="2"/>
        <v>0</v>
      </c>
      <c r="D12" s="77">
        <f t="shared" si="2"/>
        <v>0</v>
      </c>
      <c r="E12" s="77">
        <f t="shared" si="2"/>
        <v>0</v>
      </c>
      <c r="F12" s="77">
        <f t="shared" si="2"/>
        <v>0</v>
      </c>
      <c r="G12" s="77">
        <f t="shared" si="2"/>
        <v>0</v>
      </c>
      <c r="H12" s="77">
        <f t="shared" si="2"/>
        <v>0</v>
      </c>
      <c r="I12" s="80">
        <f t="shared" si="2"/>
        <v>30250</v>
      </c>
      <c r="J12" s="78">
        <f t="shared" ref="J12:Y12" si="3">SUM(J9:J11)</f>
        <v>0</v>
      </c>
      <c r="K12" s="79">
        <f t="shared" si="3"/>
        <v>0</v>
      </c>
      <c r="L12" s="79">
        <f t="shared" si="3"/>
        <v>0</v>
      </c>
      <c r="M12" s="79">
        <f t="shared" si="3"/>
        <v>0</v>
      </c>
      <c r="N12" s="79">
        <f t="shared" si="3"/>
        <v>0</v>
      </c>
      <c r="O12" s="80">
        <f t="shared" si="3"/>
        <v>0</v>
      </c>
      <c r="P12" s="81">
        <f>SUM(P10:P11)</f>
        <v>20750</v>
      </c>
      <c r="Q12" s="81">
        <f t="shared" si="3"/>
        <v>0</v>
      </c>
      <c r="R12" s="82">
        <f t="shared" si="3"/>
        <v>0</v>
      </c>
      <c r="S12" s="81">
        <f t="shared" si="3"/>
        <v>0</v>
      </c>
      <c r="T12" s="78">
        <f t="shared" si="3"/>
        <v>0</v>
      </c>
      <c r="U12" s="211">
        <f t="shared" si="3"/>
        <v>0</v>
      </c>
      <c r="V12" s="78">
        <f t="shared" si="3"/>
        <v>0</v>
      </c>
      <c r="W12" s="79">
        <f t="shared" si="3"/>
        <v>0</v>
      </c>
      <c r="X12" s="79">
        <f t="shared" si="3"/>
        <v>0</v>
      </c>
      <c r="Y12" s="83">
        <f t="shared" si="3"/>
        <v>0</v>
      </c>
    </row>
    <row r="13" spans="1:29" x14ac:dyDescent="0.25">
      <c r="A13" s="84" t="s">
        <v>14</v>
      </c>
      <c r="B13" s="261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3"/>
    </row>
    <row r="14" spans="1:29" x14ac:dyDescent="0.25">
      <c r="A14" s="85" t="s">
        <v>15</v>
      </c>
      <c r="B14" s="57"/>
      <c r="C14" s="86"/>
      <c r="D14" s="58"/>
      <c r="E14" s="58"/>
      <c r="F14" s="58"/>
      <c r="G14" s="58"/>
      <c r="H14" s="58"/>
      <c r="I14" s="61"/>
      <c r="J14" s="244"/>
      <c r="K14" s="87"/>
      <c r="L14" s="87"/>
      <c r="M14" s="87"/>
      <c r="N14" s="87"/>
      <c r="O14" s="88"/>
      <c r="P14" s="89"/>
      <c r="Q14" s="90"/>
      <c r="R14" s="202"/>
      <c r="S14" s="202"/>
      <c r="T14" s="203"/>
      <c r="U14" s="212"/>
      <c r="V14" s="64"/>
      <c r="W14" s="58"/>
      <c r="X14" s="58">
        <v>0</v>
      </c>
      <c r="Y14" s="65">
        <v>0</v>
      </c>
    </row>
    <row r="15" spans="1:29" x14ac:dyDescent="0.25">
      <c r="A15" s="91" t="s">
        <v>21</v>
      </c>
      <c r="B15" s="57">
        <v>0</v>
      </c>
      <c r="C15" s="58">
        <v>25</v>
      </c>
      <c r="D15" s="58">
        <v>37.5</v>
      </c>
      <c r="E15" s="58">
        <v>134.38</v>
      </c>
      <c r="F15" s="58">
        <v>59.38</v>
      </c>
      <c r="G15" s="58">
        <v>231.25</v>
      </c>
      <c r="H15" s="58">
        <v>96.88</v>
      </c>
      <c r="I15" s="61">
        <v>53.13</v>
      </c>
      <c r="J15" s="245">
        <v>168.75</v>
      </c>
      <c r="K15" s="13">
        <f>ROUND(2*12.5, 2)</f>
        <v>25</v>
      </c>
      <c r="L15" s="17">
        <v>0</v>
      </c>
      <c r="M15" s="17">
        <f>1*12.5</f>
        <v>12.5</v>
      </c>
      <c r="N15" s="17">
        <v>0</v>
      </c>
      <c r="O15" s="18">
        <f>0</f>
        <v>0</v>
      </c>
      <c r="P15" s="18">
        <f>ROUND(8.75*12.5, 2)</f>
        <v>109.38</v>
      </c>
      <c r="Q15" s="29">
        <f>ROUND(1.5*12.5, 2)</f>
        <v>18.75</v>
      </c>
      <c r="R15" s="204">
        <f>ROUND(5.5*12.5, 2)</f>
        <v>68.75</v>
      </c>
      <c r="S15" s="235">
        <f>ROUND(12*12.5, 2)</f>
        <v>150</v>
      </c>
      <c r="T15" s="205">
        <f>ROUND(5.5*12.5, 2)</f>
        <v>68.75</v>
      </c>
      <c r="U15" s="213">
        <f>ROUND(9.5*12.5, 2)</f>
        <v>118.75</v>
      </c>
      <c r="V15" s="64">
        <v>115.63</v>
      </c>
      <c r="W15" s="58">
        <v>6.25</v>
      </c>
      <c r="X15" s="58">
        <v>0</v>
      </c>
      <c r="Y15" s="65">
        <v>0</v>
      </c>
      <c r="Z15" s="1"/>
      <c r="AA15" s="1"/>
      <c r="AB15" s="1"/>
      <c r="AC15" s="1"/>
    </row>
    <row r="16" spans="1:29" x14ac:dyDescent="0.25">
      <c r="A16" s="91" t="s">
        <v>17</v>
      </c>
      <c r="B16" s="57">
        <v>0</v>
      </c>
      <c r="C16" s="58">
        <v>56.25</v>
      </c>
      <c r="D16" s="58">
        <v>137.5</v>
      </c>
      <c r="E16" s="58">
        <v>268.75</v>
      </c>
      <c r="F16" s="58">
        <v>43.75</v>
      </c>
      <c r="G16" s="58">
        <v>128.13</v>
      </c>
      <c r="H16" s="58">
        <v>181.25</v>
      </c>
      <c r="I16" s="61">
        <v>81.25</v>
      </c>
      <c r="J16" s="246">
        <v>162.5</v>
      </c>
      <c r="K16" s="16">
        <f>ROUND(2.5*12.5, 2)</f>
        <v>31.25</v>
      </c>
      <c r="L16" s="19">
        <v>0</v>
      </c>
      <c r="M16" s="20">
        <v>0</v>
      </c>
      <c r="N16" s="20">
        <f>5*12.5</f>
        <v>62.5</v>
      </c>
      <c r="O16" s="21">
        <f>7*12.5</f>
        <v>87.5</v>
      </c>
      <c r="P16" s="21">
        <f>ROUND(9.5*12.5, 2)</f>
        <v>118.75</v>
      </c>
      <c r="Q16" s="24">
        <f>ROUND(5*12.5, 2)</f>
        <v>62.5</v>
      </c>
      <c r="R16" s="31">
        <f>ROUND(2*12.5, 2)</f>
        <v>25</v>
      </c>
      <c r="S16" s="31">
        <f>ROUND(7.25*12.5, 2)</f>
        <v>90.63</v>
      </c>
      <c r="T16" s="198">
        <f>ROUND(0*12.5, 2)</f>
        <v>0</v>
      </c>
      <c r="U16" s="214">
        <f>ROUND(9.5*12.5, 2)</f>
        <v>118.75</v>
      </c>
      <c r="V16" s="64">
        <v>309.38</v>
      </c>
      <c r="W16" s="58">
        <v>46.88</v>
      </c>
      <c r="X16" s="58">
        <v>0</v>
      </c>
      <c r="Y16" s="65">
        <v>0</v>
      </c>
      <c r="Z16" s="1"/>
      <c r="AA16" s="1"/>
      <c r="AB16" s="1"/>
      <c r="AC16" s="1"/>
    </row>
    <row r="17" spans="1:29" x14ac:dyDescent="0.25">
      <c r="A17" s="92" t="s">
        <v>18</v>
      </c>
      <c r="B17" s="57">
        <v>0</v>
      </c>
      <c r="C17" s="58">
        <v>50</v>
      </c>
      <c r="D17" s="58">
        <v>125</v>
      </c>
      <c r="E17" s="58">
        <v>93.75</v>
      </c>
      <c r="F17" s="58">
        <v>206.25</v>
      </c>
      <c r="G17" s="58">
        <v>221.88</v>
      </c>
      <c r="H17" s="58">
        <v>437.5</v>
      </c>
      <c r="I17" s="61">
        <v>334.38</v>
      </c>
      <c r="J17" s="246">
        <v>496.88</v>
      </c>
      <c r="K17" s="14">
        <f>ROUND(34*12.5, 2)</f>
        <v>425</v>
      </c>
      <c r="L17" s="20">
        <v>0</v>
      </c>
      <c r="M17" s="20">
        <v>0</v>
      </c>
      <c r="N17" s="20">
        <f>ROUND(3.75*12.5, 2)</f>
        <v>46.88</v>
      </c>
      <c r="O17" s="21">
        <f>19*12.5</f>
        <v>237.5</v>
      </c>
      <c r="P17" s="21">
        <f>ROUND(6*12.5, 2)</f>
        <v>75</v>
      </c>
      <c r="Q17" s="24">
        <f>ROUND(4.5*12.5, 2)</f>
        <v>56.25</v>
      </c>
      <c r="R17" s="31">
        <f>ROUND(3.5*12.5, 2)</f>
        <v>43.75</v>
      </c>
      <c r="S17" s="31">
        <f>ROUND(0.75*12.5, 2)</f>
        <v>9.3800000000000008</v>
      </c>
      <c r="T17" s="198">
        <f>ROUND(5.25*12.5, 2)</f>
        <v>65.63</v>
      </c>
      <c r="U17" s="214">
        <f>ROUND(37*12.5, 2)</f>
        <v>462.5</v>
      </c>
      <c r="V17" s="64">
        <v>112.5</v>
      </c>
      <c r="W17" s="58">
        <v>6.25</v>
      </c>
      <c r="X17" s="58">
        <v>0</v>
      </c>
      <c r="Y17" s="65">
        <v>0</v>
      </c>
      <c r="Z17" s="1"/>
      <c r="AA17" s="1"/>
      <c r="AB17" s="1"/>
      <c r="AC17" s="1"/>
    </row>
    <row r="18" spans="1:29" x14ac:dyDescent="0.25">
      <c r="A18" s="92" t="s">
        <v>19</v>
      </c>
      <c r="B18" s="57">
        <v>0</v>
      </c>
      <c r="C18" s="58">
        <v>25</v>
      </c>
      <c r="D18" s="58">
        <v>153.13</v>
      </c>
      <c r="E18" s="58">
        <v>131.25</v>
      </c>
      <c r="F18" s="58">
        <v>115.63</v>
      </c>
      <c r="G18" s="58">
        <v>168.75</v>
      </c>
      <c r="H18" s="58">
        <v>53.13</v>
      </c>
      <c r="I18" s="61">
        <v>112.5</v>
      </c>
      <c r="J18" s="246">
        <v>93.75</v>
      </c>
      <c r="K18" s="14">
        <f>ROUND(13*12.5, 2)</f>
        <v>162.5</v>
      </c>
      <c r="L18" s="20">
        <v>0</v>
      </c>
      <c r="M18" s="19">
        <v>0</v>
      </c>
      <c r="N18" s="20">
        <f>2*12.5</f>
        <v>25</v>
      </c>
      <c r="O18" s="21">
        <f>0</f>
        <v>0</v>
      </c>
      <c r="P18" s="21">
        <f>ROUND(0*12.5, 2)</f>
        <v>0</v>
      </c>
      <c r="Q18" s="24">
        <f>ROUND(0*12.5, 2)</f>
        <v>0</v>
      </c>
      <c r="R18" s="31">
        <f>ROUND(0.5*12.5, 2)</f>
        <v>6.25</v>
      </c>
      <c r="S18" s="31">
        <f>ROUND(0.75*12.5, 2)</f>
        <v>9.3800000000000008</v>
      </c>
      <c r="T18" s="198">
        <f>ROUND(3*12.5, 2)</f>
        <v>37.5</v>
      </c>
      <c r="U18" s="214">
        <f>ROUND(10.75*12.5, 2)</f>
        <v>134.38</v>
      </c>
      <c r="V18" s="64">
        <v>103.13</v>
      </c>
      <c r="W18" s="58">
        <v>6.25</v>
      </c>
      <c r="X18" s="58">
        <v>0</v>
      </c>
      <c r="Y18" s="65">
        <v>0</v>
      </c>
      <c r="Z18" s="1"/>
      <c r="AA18" s="1"/>
      <c r="AB18" s="1"/>
      <c r="AC18" s="1"/>
    </row>
    <row r="19" spans="1:29" ht="15.75" customHeight="1" x14ac:dyDescent="0.25">
      <c r="A19" s="91" t="s">
        <v>22</v>
      </c>
      <c r="B19" s="57">
        <v>0</v>
      </c>
      <c r="C19" s="58">
        <v>62.5</v>
      </c>
      <c r="D19" s="58">
        <v>165.63</v>
      </c>
      <c r="E19" s="58">
        <v>337.5</v>
      </c>
      <c r="F19" s="58">
        <v>290.63</v>
      </c>
      <c r="G19" s="58">
        <v>396.88</v>
      </c>
      <c r="H19" s="58">
        <v>87.5</v>
      </c>
      <c r="I19" s="61">
        <v>37.5</v>
      </c>
      <c r="J19" s="246">
        <v>206.25</v>
      </c>
      <c r="K19" s="15">
        <f>ROUND(8.25*12.5, 2)</f>
        <v>103.13</v>
      </c>
      <c r="L19" s="22">
        <f>6*12.5</f>
        <v>75</v>
      </c>
      <c r="M19" s="22">
        <f>6*12.5</f>
        <v>75</v>
      </c>
      <c r="N19" s="23">
        <f>6*12.5</f>
        <v>75</v>
      </c>
      <c r="O19" s="24">
        <f>6*12.5</f>
        <v>75</v>
      </c>
      <c r="P19" s="21">
        <f>ROUND(4.5*12.5, 2)</f>
        <v>56.25</v>
      </c>
      <c r="Q19" s="24">
        <f>ROUND(0*12.5, 2)</f>
        <v>0</v>
      </c>
      <c r="R19" s="31">
        <f>ROUND(2*12.5, 2)</f>
        <v>25</v>
      </c>
      <c r="S19" s="31">
        <f>ROUND(0.75*12.5, 2)</f>
        <v>9.3800000000000008</v>
      </c>
      <c r="T19" s="198">
        <f>ROUND(3*12.5, 2)</f>
        <v>37.5</v>
      </c>
      <c r="U19" s="214">
        <f>ROUND(19.5*12.5, 2)</f>
        <v>243.75</v>
      </c>
      <c r="V19" s="64">
        <v>25</v>
      </c>
      <c r="W19" s="58">
        <v>6.25</v>
      </c>
      <c r="X19" s="58">
        <v>0</v>
      </c>
      <c r="Y19" s="65">
        <v>0</v>
      </c>
      <c r="Z19" s="1"/>
      <c r="AA19" s="1"/>
      <c r="AB19" s="1"/>
      <c r="AC19" s="1"/>
    </row>
    <row r="20" spans="1:29" x14ac:dyDescent="0.25">
      <c r="A20" s="92" t="s">
        <v>16</v>
      </c>
      <c r="B20" s="57">
        <v>0</v>
      </c>
      <c r="C20" s="58">
        <v>25</v>
      </c>
      <c r="D20" s="58">
        <v>75</v>
      </c>
      <c r="E20" s="58">
        <v>162.5</v>
      </c>
      <c r="F20" s="58">
        <v>62.5</v>
      </c>
      <c r="G20" s="58">
        <v>56.25</v>
      </c>
      <c r="H20" s="58">
        <v>165.63</v>
      </c>
      <c r="I20" s="61">
        <v>31.25</v>
      </c>
      <c r="J20" s="246">
        <v>37.5</v>
      </c>
      <c r="K20" s="13">
        <f>ROUND(23.5*12.5, 2)</f>
        <v>293.75</v>
      </c>
      <c r="L20" s="17">
        <f>ROUND(11.75*12.5, 2)</f>
        <v>146.88</v>
      </c>
      <c r="M20" s="17">
        <f>ROUND(4.25*12.5, 2)</f>
        <v>53.13</v>
      </c>
      <c r="N20" s="25">
        <f>ROUND(24.25*12.5, 2)</f>
        <v>303.13</v>
      </c>
      <c r="O20" s="18">
        <f>ROUND(6.25*12.5, 2)</f>
        <v>78.13</v>
      </c>
      <c r="P20" s="18">
        <f>ROUND(1*12.5, 2)</f>
        <v>12.5</v>
      </c>
      <c r="Q20" s="30">
        <f>ROUND(0*12.5, 2)</f>
        <v>0</v>
      </c>
      <c r="R20" s="32">
        <f>ROUND(0*12.5, 2)</f>
        <v>0</v>
      </c>
      <c r="S20" s="32">
        <f>ROUND(0.75*12.5, 2)</f>
        <v>9.3800000000000008</v>
      </c>
      <c r="T20" s="199">
        <f>ROUND(0*12.5, 2)</f>
        <v>0</v>
      </c>
      <c r="U20" s="215">
        <f>ROUND(4.75*12.5, 2)</f>
        <v>59.38</v>
      </c>
      <c r="V20" s="64">
        <v>396.88</v>
      </c>
      <c r="W20" s="58">
        <v>46.88</v>
      </c>
      <c r="X20" s="58">
        <v>0</v>
      </c>
      <c r="Y20" s="65">
        <v>0</v>
      </c>
      <c r="Z20" s="1"/>
      <c r="AA20" s="1"/>
      <c r="AB20" s="1"/>
      <c r="AC20" s="1"/>
    </row>
    <row r="21" spans="1:29" x14ac:dyDescent="0.25">
      <c r="A21" s="92" t="s">
        <v>20</v>
      </c>
      <c r="B21" s="57">
        <v>0</v>
      </c>
      <c r="C21" s="58">
        <v>25</v>
      </c>
      <c r="D21" s="58">
        <v>93.75</v>
      </c>
      <c r="E21" s="58">
        <v>37.5</v>
      </c>
      <c r="F21" s="58">
        <v>50</v>
      </c>
      <c r="G21" s="58">
        <v>56.25</v>
      </c>
      <c r="H21" s="58">
        <v>356.25</v>
      </c>
      <c r="I21" s="61">
        <v>287.5</v>
      </c>
      <c r="J21" s="246">
        <v>562.5</v>
      </c>
      <c r="K21" s="14">
        <f>ROUND(25.5*12.5, 2)</f>
        <v>318.75</v>
      </c>
      <c r="L21" s="20">
        <f>ROUND(0.5*12.5, 2)</f>
        <v>6.25</v>
      </c>
      <c r="M21" s="20">
        <f>ROUND(1.25*12.5, 2)</f>
        <v>15.63</v>
      </c>
      <c r="N21" s="20">
        <f>5.25*12.5</f>
        <v>65.625</v>
      </c>
      <c r="O21" s="21">
        <f>5.5*12.5</f>
        <v>68.75</v>
      </c>
      <c r="P21" s="21">
        <f>ROUND(4.75*12.5, 2)</f>
        <v>59.38</v>
      </c>
      <c r="Q21" s="24">
        <f>ROUND(6*12.5, 2)</f>
        <v>75</v>
      </c>
      <c r="R21" s="31">
        <f>ROUND(23.5*12.5, 2)</f>
        <v>293.75</v>
      </c>
      <c r="S21" s="31">
        <f>ROUND(1*12.5, 2)</f>
        <v>12.5</v>
      </c>
      <c r="T21" s="198">
        <f>ROUND(4.75*12.5, 2)</f>
        <v>59.38</v>
      </c>
      <c r="U21" s="214">
        <f>ROUND(32.25*12.5, 2)</f>
        <v>403.13</v>
      </c>
      <c r="V21" s="64">
        <v>25</v>
      </c>
      <c r="W21" s="58">
        <v>6.25</v>
      </c>
      <c r="X21" s="58">
        <v>0</v>
      </c>
      <c r="Y21" s="65">
        <v>0</v>
      </c>
      <c r="Z21" s="1"/>
      <c r="AA21" s="1"/>
      <c r="AB21" s="1"/>
      <c r="AC21" s="1"/>
    </row>
    <row r="22" spans="1:29" ht="15.75" customHeight="1" x14ac:dyDescent="0.25">
      <c r="A22" s="92" t="s">
        <v>23</v>
      </c>
      <c r="B22" s="57">
        <v>0</v>
      </c>
      <c r="C22" s="58">
        <v>62.5</v>
      </c>
      <c r="D22" s="58">
        <v>100</v>
      </c>
      <c r="E22" s="58">
        <v>68.75</v>
      </c>
      <c r="F22" s="58">
        <v>75</v>
      </c>
      <c r="G22" s="58">
        <v>162.5</v>
      </c>
      <c r="H22" s="58">
        <v>143.75</v>
      </c>
      <c r="I22" s="61">
        <v>156.25</v>
      </c>
      <c r="J22" s="246">
        <v>93.75</v>
      </c>
      <c r="K22" s="15">
        <f>ROUND(8.5*12.5, 2)</f>
        <v>106.25</v>
      </c>
      <c r="L22" s="22">
        <f>ROUND(5*12.5, 2)</f>
        <v>62.5</v>
      </c>
      <c r="M22" s="23">
        <v>0</v>
      </c>
      <c r="N22" s="19">
        <v>0</v>
      </c>
      <c r="O22" s="26">
        <v>0</v>
      </c>
      <c r="P22" s="26">
        <f>ROUND(12*12.5, 2)</f>
        <v>150</v>
      </c>
      <c r="Q22" s="24">
        <f>ROUND(9.25*12.5, 2)</f>
        <v>115.63</v>
      </c>
      <c r="R22" s="33">
        <f>ROUND(11*12.5, 2)</f>
        <v>137.5</v>
      </c>
      <c r="S22" s="33">
        <f>ROUND(2.75*12.5, 2)</f>
        <v>34.380000000000003</v>
      </c>
      <c r="T22" s="200">
        <f>ROUND(0*12.5, 2)</f>
        <v>0</v>
      </c>
      <c r="U22" s="216">
        <f>ROUND(27*12.5, 2)</f>
        <v>337.5</v>
      </c>
      <c r="V22" s="64">
        <v>156.25</v>
      </c>
      <c r="W22" s="58">
        <v>6.25</v>
      </c>
      <c r="X22" s="58">
        <v>0</v>
      </c>
      <c r="Y22" s="65">
        <f>SUM(Y14:Y21)</f>
        <v>0</v>
      </c>
      <c r="Z22" s="1"/>
      <c r="AA22" s="1"/>
      <c r="AB22" s="1"/>
      <c r="AC22" s="1"/>
    </row>
    <row r="23" spans="1:29" ht="15.75" customHeight="1" x14ac:dyDescent="0.25">
      <c r="A23" s="92" t="s">
        <v>24</v>
      </c>
      <c r="B23" s="57">
        <v>0</v>
      </c>
      <c r="C23" s="58">
        <f>ROUND(SUM(C15:C22),2)</f>
        <v>331.25</v>
      </c>
      <c r="D23" s="58">
        <f t="shared" ref="D23:X23" si="4">ROUND(SUM(D15:D22),2)</f>
        <v>887.51</v>
      </c>
      <c r="E23" s="58">
        <f t="shared" si="4"/>
        <v>1234.3800000000001</v>
      </c>
      <c r="F23" s="58">
        <f t="shared" si="4"/>
        <v>903.14</v>
      </c>
      <c r="G23" s="58">
        <f t="shared" si="4"/>
        <v>1421.89</v>
      </c>
      <c r="H23" s="58">
        <f t="shared" si="4"/>
        <v>1521.89</v>
      </c>
      <c r="I23" s="61">
        <f t="shared" si="4"/>
        <v>1093.76</v>
      </c>
      <c r="J23" s="64">
        <f t="shared" si="4"/>
        <v>1821.88</v>
      </c>
      <c r="K23" s="58">
        <f t="shared" si="4"/>
        <v>1465.63</v>
      </c>
      <c r="L23" s="58">
        <f t="shared" si="4"/>
        <v>290.63</v>
      </c>
      <c r="M23" s="58">
        <f t="shared" si="4"/>
        <v>156.26</v>
      </c>
      <c r="N23" s="58">
        <f t="shared" si="4"/>
        <v>578.14</v>
      </c>
      <c r="O23" s="58">
        <f t="shared" si="4"/>
        <v>546.88</v>
      </c>
      <c r="P23" s="12">
        <f>ROUND(SUM(P15:P22), 2)</f>
        <v>581.26</v>
      </c>
      <c r="Q23" s="62">
        <f t="shared" si="4"/>
        <v>328.13</v>
      </c>
      <c r="R23" s="63">
        <f>ROUND(SUM(R15:R22),2)</f>
        <v>600</v>
      </c>
      <c r="S23" s="236">
        <f>ROUND(SUM(S15:S22), 2)</f>
        <v>325.02999999999997</v>
      </c>
      <c r="T23" s="201">
        <f>ROUND(SUM(T15:T22), 2)</f>
        <v>268.76</v>
      </c>
      <c r="U23" s="217">
        <f>ROUND(SUM(U15:U22), 2)</f>
        <v>1878.14</v>
      </c>
      <c r="V23" s="64">
        <f t="shared" si="4"/>
        <v>1243.77</v>
      </c>
      <c r="W23" s="58">
        <f t="shared" si="4"/>
        <v>131.26</v>
      </c>
      <c r="X23" s="58">
        <f t="shared" si="4"/>
        <v>0</v>
      </c>
      <c r="Y23" s="65">
        <f>ROUND(SUM(Y20:Y22),2)</f>
        <v>0</v>
      </c>
      <c r="Z23" s="1"/>
      <c r="AA23" s="1"/>
      <c r="AB23" s="1"/>
      <c r="AC23" s="1"/>
    </row>
    <row r="24" spans="1:29" ht="15.75" customHeight="1" x14ac:dyDescent="0.25">
      <c r="A24" s="93" t="s">
        <v>25</v>
      </c>
      <c r="B24" s="94"/>
      <c r="C24" s="95"/>
      <c r="D24" s="95"/>
      <c r="E24" s="95"/>
      <c r="F24" s="95"/>
      <c r="G24" s="95"/>
      <c r="H24" s="95"/>
      <c r="I24" s="97"/>
      <c r="J24" s="96"/>
      <c r="K24" s="95"/>
      <c r="L24" s="95"/>
      <c r="M24" s="95"/>
      <c r="N24" s="95"/>
      <c r="O24" s="97"/>
      <c r="P24" s="98"/>
      <c r="Q24" s="98"/>
      <c r="R24" s="99"/>
      <c r="S24" s="99"/>
      <c r="T24" s="96"/>
      <c r="U24" s="218"/>
      <c r="V24" s="96"/>
      <c r="W24" s="95"/>
      <c r="X24" s="95"/>
      <c r="Y24" s="100"/>
    </row>
    <row r="25" spans="1:29" ht="15.75" customHeight="1" x14ac:dyDescent="0.25">
      <c r="A25" s="91" t="s">
        <v>21</v>
      </c>
      <c r="B25" s="57">
        <v>0</v>
      </c>
      <c r="C25" s="58">
        <v>0</v>
      </c>
      <c r="D25" s="58">
        <f t="shared" ref="D25:Y25" si="5">C15</f>
        <v>25</v>
      </c>
      <c r="E25" s="58">
        <f t="shared" si="5"/>
        <v>37.5</v>
      </c>
      <c r="F25" s="58">
        <f t="shared" si="5"/>
        <v>134.38</v>
      </c>
      <c r="G25" s="58">
        <f t="shared" si="5"/>
        <v>59.38</v>
      </c>
      <c r="H25" s="58">
        <f t="shared" si="5"/>
        <v>231.25</v>
      </c>
      <c r="I25" s="61">
        <f t="shared" si="5"/>
        <v>96.88</v>
      </c>
      <c r="J25" s="101">
        <f t="shared" si="5"/>
        <v>53.13</v>
      </c>
      <c r="K25" s="58">
        <f t="shared" si="5"/>
        <v>168.75</v>
      </c>
      <c r="L25" s="58">
        <f t="shared" si="5"/>
        <v>25</v>
      </c>
      <c r="M25" s="58">
        <f t="shared" si="5"/>
        <v>0</v>
      </c>
      <c r="N25" s="58">
        <f t="shared" si="5"/>
        <v>12.5</v>
      </c>
      <c r="O25" s="61">
        <f t="shared" si="5"/>
        <v>0</v>
      </c>
      <c r="P25" s="62">
        <f t="shared" si="5"/>
        <v>0</v>
      </c>
      <c r="Q25" s="62">
        <f t="shared" si="5"/>
        <v>109.38</v>
      </c>
      <c r="R25" s="63">
        <f t="shared" si="5"/>
        <v>18.75</v>
      </c>
      <c r="S25" s="63">
        <f t="shared" si="5"/>
        <v>68.75</v>
      </c>
      <c r="T25" s="64">
        <f t="shared" si="5"/>
        <v>150</v>
      </c>
      <c r="U25" s="209">
        <f t="shared" si="5"/>
        <v>68.75</v>
      </c>
      <c r="V25" s="64">
        <f t="shared" si="5"/>
        <v>118.75</v>
      </c>
      <c r="W25" s="58">
        <f t="shared" si="5"/>
        <v>115.63</v>
      </c>
      <c r="X25" s="58">
        <f t="shared" si="5"/>
        <v>6.25</v>
      </c>
      <c r="Y25" s="65">
        <f t="shared" si="5"/>
        <v>0</v>
      </c>
      <c r="Z25" s="1"/>
      <c r="AA25" s="1"/>
      <c r="AB25" s="1"/>
      <c r="AC25" s="1"/>
    </row>
    <row r="26" spans="1:29" ht="15.75" customHeight="1" x14ac:dyDescent="0.25">
      <c r="A26" s="91" t="s">
        <v>17</v>
      </c>
      <c r="B26" s="57">
        <v>0</v>
      </c>
      <c r="C26" s="58">
        <v>0</v>
      </c>
      <c r="D26" s="58">
        <f t="shared" ref="D26:Y26" si="6">C16</f>
        <v>56.25</v>
      </c>
      <c r="E26" s="58">
        <f t="shared" si="6"/>
        <v>137.5</v>
      </c>
      <c r="F26" s="58">
        <f t="shared" si="6"/>
        <v>268.75</v>
      </c>
      <c r="G26" s="58">
        <f t="shared" si="6"/>
        <v>43.75</v>
      </c>
      <c r="H26" s="58">
        <f t="shared" si="6"/>
        <v>128.13</v>
      </c>
      <c r="I26" s="61">
        <f t="shared" si="6"/>
        <v>181.25</v>
      </c>
      <c r="J26" s="101">
        <f t="shared" si="6"/>
        <v>81.25</v>
      </c>
      <c r="K26" s="58">
        <f t="shared" si="6"/>
        <v>162.5</v>
      </c>
      <c r="L26" s="58">
        <f t="shared" si="6"/>
        <v>31.25</v>
      </c>
      <c r="M26" s="58">
        <f t="shared" si="6"/>
        <v>0</v>
      </c>
      <c r="N26" s="58">
        <f t="shared" si="6"/>
        <v>0</v>
      </c>
      <c r="O26" s="61">
        <f t="shared" si="6"/>
        <v>62.5</v>
      </c>
      <c r="P26" s="62">
        <f t="shared" si="6"/>
        <v>87.5</v>
      </c>
      <c r="Q26" s="62">
        <f t="shared" si="6"/>
        <v>118.75</v>
      </c>
      <c r="R26" s="63">
        <f t="shared" si="6"/>
        <v>62.5</v>
      </c>
      <c r="S26" s="63">
        <f t="shared" si="6"/>
        <v>25</v>
      </c>
      <c r="T26" s="64">
        <f t="shared" si="6"/>
        <v>90.63</v>
      </c>
      <c r="U26" s="209">
        <f t="shared" si="6"/>
        <v>0</v>
      </c>
      <c r="V26" s="64">
        <f t="shared" si="6"/>
        <v>118.75</v>
      </c>
      <c r="W26" s="58">
        <f t="shared" si="6"/>
        <v>309.38</v>
      </c>
      <c r="X26" s="58">
        <f t="shared" si="6"/>
        <v>46.88</v>
      </c>
      <c r="Y26" s="65">
        <f t="shared" si="6"/>
        <v>0</v>
      </c>
      <c r="Z26" s="1"/>
      <c r="AA26" s="1"/>
      <c r="AB26" s="1"/>
      <c r="AC26" s="1"/>
    </row>
    <row r="27" spans="1:29" ht="15.75" customHeight="1" x14ac:dyDescent="0.25">
      <c r="A27" s="92" t="s">
        <v>18</v>
      </c>
      <c r="B27" s="57">
        <v>0</v>
      </c>
      <c r="C27" s="58">
        <v>0</v>
      </c>
      <c r="D27" s="58">
        <f t="shared" ref="D27:Y27" si="7">C17</f>
        <v>50</v>
      </c>
      <c r="E27" s="58">
        <f t="shared" si="7"/>
        <v>125</v>
      </c>
      <c r="F27" s="58">
        <f t="shared" si="7"/>
        <v>93.75</v>
      </c>
      <c r="G27" s="58">
        <f t="shared" si="7"/>
        <v>206.25</v>
      </c>
      <c r="H27" s="58">
        <f t="shared" si="7"/>
        <v>221.88</v>
      </c>
      <c r="I27" s="61">
        <f t="shared" si="7"/>
        <v>437.5</v>
      </c>
      <c r="J27" s="101">
        <f t="shared" si="7"/>
        <v>334.38</v>
      </c>
      <c r="K27" s="58">
        <f t="shared" si="7"/>
        <v>496.88</v>
      </c>
      <c r="L27" s="58">
        <f t="shared" si="7"/>
        <v>425</v>
      </c>
      <c r="M27" s="58">
        <f t="shared" si="7"/>
        <v>0</v>
      </c>
      <c r="N27" s="58">
        <f t="shared" si="7"/>
        <v>0</v>
      </c>
      <c r="O27" s="61">
        <f t="shared" si="7"/>
        <v>46.88</v>
      </c>
      <c r="P27" s="62">
        <f t="shared" si="7"/>
        <v>237.5</v>
      </c>
      <c r="Q27" s="62">
        <f t="shared" si="7"/>
        <v>75</v>
      </c>
      <c r="R27" s="63">
        <f t="shared" si="7"/>
        <v>56.25</v>
      </c>
      <c r="S27" s="63">
        <f t="shared" si="7"/>
        <v>43.75</v>
      </c>
      <c r="T27" s="64">
        <f t="shared" si="7"/>
        <v>9.3800000000000008</v>
      </c>
      <c r="U27" s="209">
        <f t="shared" si="7"/>
        <v>65.63</v>
      </c>
      <c r="V27" s="64">
        <f t="shared" si="7"/>
        <v>462.5</v>
      </c>
      <c r="W27" s="58">
        <f t="shared" si="7"/>
        <v>112.5</v>
      </c>
      <c r="X27" s="58">
        <f t="shared" si="7"/>
        <v>6.25</v>
      </c>
      <c r="Y27" s="65">
        <f t="shared" si="7"/>
        <v>0</v>
      </c>
      <c r="Z27" s="1"/>
      <c r="AA27" s="1"/>
      <c r="AB27" s="1"/>
      <c r="AC27" s="1"/>
    </row>
    <row r="28" spans="1:29" ht="15.75" customHeight="1" x14ac:dyDescent="0.25">
      <c r="A28" s="92" t="s">
        <v>19</v>
      </c>
      <c r="B28" s="57">
        <v>0</v>
      </c>
      <c r="C28" s="58">
        <v>0</v>
      </c>
      <c r="D28" s="58">
        <f t="shared" ref="D28:Y28" si="8">C18</f>
        <v>25</v>
      </c>
      <c r="E28" s="58">
        <f t="shared" si="8"/>
        <v>153.13</v>
      </c>
      <c r="F28" s="58">
        <f t="shared" si="8"/>
        <v>131.25</v>
      </c>
      <c r="G28" s="58">
        <f t="shared" si="8"/>
        <v>115.63</v>
      </c>
      <c r="H28" s="58">
        <f t="shared" si="8"/>
        <v>168.75</v>
      </c>
      <c r="I28" s="61">
        <f t="shared" si="8"/>
        <v>53.13</v>
      </c>
      <c r="J28" s="101">
        <f t="shared" si="8"/>
        <v>112.5</v>
      </c>
      <c r="K28" s="58">
        <f t="shared" si="8"/>
        <v>93.75</v>
      </c>
      <c r="L28" s="58">
        <f t="shared" si="8"/>
        <v>162.5</v>
      </c>
      <c r="M28" s="58">
        <f t="shared" si="8"/>
        <v>0</v>
      </c>
      <c r="N28" s="58">
        <f t="shared" si="8"/>
        <v>0</v>
      </c>
      <c r="O28" s="61">
        <f t="shared" si="8"/>
        <v>25</v>
      </c>
      <c r="P28" s="62">
        <f t="shared" si="8"/>
        <v>0</v>
      </c>
      <c r="Q28" s="62">
        <f t="shared" si="8"/>
        <v>0</v>
      </c>
      <c r="R28" s="63">
        <f t="shared" si="8"/>
        <v>0</v>
      </c>
      <c r="S28" s="63">
        <f t="shared" si="8"/>
        <v>6.25</v>
      </c>
      <c r="T28" s="64">
        <f t="shared" si="8"/>
        <v>9.3800000000000008</v>
      </c>
      <c r="U28" s="209">
        <f t="shared" si="8"/>
        <v>37.5</v>
      </c>
      <c r="V28" s="64">
        <f t="shared" si="8"/>
        <v>134.38</v>
      </c>
      <c r="W28" s="58">
        <f t="shared" si="8"/>
        <v>103.13</v>
      </c>
      <c r="X28" s="58">
        <f t="shared" si="8"/>
        <v>6.25</v>
      </c>
      <c r="Y28" s="65">
        <f t="shared" si="8"/>
        <v>0</v>
      </c>
      <c r="Z28" s="1"/>
      <c r="AA28" s="1"/>
      <c r="AB28" s="1"/>
      <c r="AC28" s="1"/>
    </row>
    <row r="29" spans="1:29" ht="15.75" customHeight="1" x14ac:dyDescent="0.25">
      <c r="A29" s="91" t="s">
        <v>22</v>
      </c>
      <c r="B29" s="57">
        <v>0</v>
      </c>
      <c r="C29" s="58">
        <v>0</v>
      </c>
      <c r="D29" s="58">
        <f t="shared" ref="D29:Y29" si="9">C19</f>
        <v>62.5</v>
      </c>
      <c r="E29" s="58">
        <f t="shared" si="9"/>
        <v>165.63</v>
      </c>
      <c r="F29" s="58">
        <f t="shared" si="9"/>
        <v>337.5</v>
      </c>
      <c r="G29" s="58">
        <f t="shared" si="9"/>
        <v>290.63</v>
      </c>
      <c r="H29" s="58">
        <f t="shared" si="9"/>
        <v>396.88</v>
      </c>
      <c r="I29" s="61">
        <f t="shared" si="9"/>
        <v>87.5</v>
      </c>
      <c r="J29" s="101">
        <f t="shared" si="9"/>
        <v>37.5</v>
      </c>
      <c r="K29" s="58">
        <f t="shared" si="9"/>
        <v>206.25</v>
      </c>
      <c r="L29" s="58">
        <f t="shared" si="9"/>
        <v>103.13</v>
      </c>
      <c r="M29" s="58">
        <f t="shared" si="9"/>
        <v>75</v>
      </c>
      <c r="N29" s="58">
        <f t="shared" si="9"/>
        <v>75</v>
      </c>
      <c r="O29" s="61">
        <f t="shared" si="9"/>
        <v>75</v>
      </c>
      <c r="P29" s="62">
        <f t="shared" si="9"/>
        <v>75</v>
      </c>
      <c r="Q29" s="62">
        <f t="shared" si="9"/>
        <v>56.25</v>
      </c>
      <c r="R29" s="63">
        <f t="shared" si="9"/>
        <v>0</v>
      </c>
      <c r="S29" s="63">
        <f t="shared" si="9"/>
        <v>25</v>
      </c>
      <c r="T29" s="64">
        <f t="shared" si="9"/>
        <v>9.3800000000000008</v>
      </c>
      <c r="U29" s="209">
        <f t="shared" si="9"/>
        <v>37.5</v>
      </c>
      <c r="V29" s="64">
        <f t="shared" si="9"/>
        <v>243.75</v>
      </c>
      <c r="W29" s="58">
        <f t="shared" si="9"/>
        <v>25</v>
      </c>
      <c r="X29" s="58">
        <f t="shared" si="9"/>
        <v>6.25</v>
      </c>
      <c r="Y29" s="65">
        <f t="shared" si="9"/>
        <v>0</v>
      </c>
      <c r="Z29" s="1"/>
      <c r="AA29" s="1"/>
      <c r="AB29" s="1"/>
      <c r="AC29" s="1"/>
    </row>
    <row r="30" spans="1:29" ht="15.75" customHeight="1" x14ac:dyDescent="0.25">
      <c r="A30" s="92" t="s">
        <v>16</v>
      </c>
      <c r="B30" s="57">
        <v>0</v>
      </c>
      <c r="C30" s="58">
        <v>0</v>
      </c>
      <c r="D30" s="58">
        <f t="shared" ref="D30:Y30" si="10">C20</f>
        <v>25</v>
      </c>
      <c r="E30" s="58">
        <f t="shared" si="10"/>
        <v>75</v>
      </c>
      <c r="F30" s="58">
        <f t="shared" si="10"/>
        <v>162.5</v>
      </c>
      <c r="G30" s="58">
        <f t="shared" si="10"/>
        <v>62.5</v>
      </c>
      <c r="H30" s="58">
        <f t="shared" si="10"/>
        <v>56.25</v>
      </c>
      <c r="I30" s="61">
        <f t="shared" si="10"/>
        <v>165.63</v>
      </c>
      <c r="J30" s="101">
        <f t="shared" si="10"/>
        <v>31.25</v>
      </c>
      <c r="K30" s="58">
        <f t="shared" si="10"/>
        <v>37.5</v>
      </c>
      <c r="L30" s="58">
        <f t="shared" si="10"/>
        <v>293.75</v>
      </c>
      <c r="M30" s="58">
        <f t="shared" si="10"/>
        <v>146.88</v>
      </c>
      <c r="N30" s="58">
        <f t="shared" si="10"/>
        <v>53.13</v>
      </c>
      <c r="O30" s="61">
        <f t="shared" si="10"/>
        <v>303.13</v>
      </c>
      <c r="P30" s="62">
        <f t="shared" si="10"/>
        <v>78.13</v>
      </c>
      <c r="Q30" s="62">
        <f t="shared" si="10"/>
        <v>12.5</v>
      </c>
      <c r="R30" s="63">
        <f t="shared" si="10"/>
        <v>0</v>
      </c>
      <c r="S30" s="63">
        <f t="shared" si="10"/>
        <v>0</v>
      </c>
      <c r="T30" s="64">
        <f t="shared" si="10"/>
        <v>9.3800000000000008</v>
      </c>
      <c r="U30" s="209">
        <f t="shared" si="10"/>
        <v>0</v>
      </c>
      <c r="V30" s="64">
        <f t="shared" si="10"/>
        <v>59.38</v>
      </c>
      <c r="W30" s="58">
        <f t="shared" si="10"/>
        <v>396.88</v>
      </c>
      <c r="X30" s="58">
        <f t="shared" si="10"/>
        <v>46.88</v>
      </c>
      <c r="Y30" s="65">
        <f t="shared" si="10"/>
        <v>0</v>
      </c>
      <c r="Z30" s="1"/>
      <c r="AA30" s="1"/>
      <c r="AB30" s="1"/>
      <c r="AC30" s="1"/>
    </row>
    <row r="31" spans="1:29" ht="15.75" customHeight="1" x14ac:dyDescent="0.25">
      <c r="A31" s="92" t="s">
        <v>20</v>
      </c>
      <c r="B31" s="57">
        <v>0</v>
      </c>
      <c r="C31" s="58">
        <v>0</v>
      </c>
      <c r="D31" s="58">
        <f t="shared" ref="D31:Y31" si="11">C21</f>
        <v>25</v>
      </c>
      <c r="E31" s="58">
        <f t="shared" si="11"/>
        <v>93.75</v>
      </c>
      <c r="F31" s="58">
        <f t="shared" si="11"/>
        <v>37.5</v>
      </c>
      <c r="G31" s="58">
        <f t="shared" si="11"/>
        <v>50</v>
      </c>
      <c r="H31" s="58">
        <f t="shared" si="11"/>
        <v>56.25</v>
      </c>
      <c r="I31" s="61">
        <f t="shared" si="11"/>
        <v>356.25</v>
      </c>
      <c r="J31" s="101">
        <f t="shared" si="11"/>
        <v>287.5</v>
      </c>
      <c r="K31" s="58">
        <f t="shared" si="11"/>
        <v>562.5</v>
      </c>
      <c r="L31" s="58">
        <f t="shared" si="11"/>
        <v>318.75</v>
      </c>
      <c r="M31" s="58">
        <f t="shared" si="11"/>
        <v>6.25</v>
      </c>
      <c r="N31" s="58">
        <f t="shared" si="11"/>
        <v>15.63</v>
      </c>
      <c r="O31" s="61">
        <f t="shared" si="11"/>
        <v>65.625</v>
      </c>
      <c r="P31" s="62">
        <f t="shared" si="11"/>
        <v>68.75</v>
      </c>
      <c r="Q31" s="62">
        <f t="shared" si="11"/>
        <v>59.38</v>
      </c>
      <c r="R31" s="63">
        <f t="shared" si="11"/>
        <v>75</v>
      </c>
      <c r="S31" s="63">
        <f t="shared" si="11"/>
        <v>293.75</v>
      </c>
      <c r="T31" s="64">
        <f t="shared" si="11"/>
        <v>12.5</v>
      </c>
      <c r="U31" s="209">
        <f t="shared" si="11"/>
        <v>59.38</v>
      </c>
      <c r="V31" s="64">
        <f t="shared" si="11"/>
        <v>403.13</v>
      </c>
      <c r="W31" s="58">
        <f t="shared" si="11"/>
        <v>25</v>
      </c>
      <c r="X31" s="58">
        <f t="shared" si="11"/>
        <v>6.25</v>
      </c>
      <c r="Y31" s="65">
        <f t="shared" si="11"/>
        <v>0</v>
      </c>
      <c r="Z31" s="1"/>
      <c r="AA31" s="1"/>
      <c r="AB31" s="1"/>
      <c r="AC31" s="1"/>
    </row>
    <row r="32" spans="1:29" ht="15.75" customHeight="1" x14ac:dyDescent="0.25">
      <c r="A32" s="92" t="s">
        <v>23</v>
      </c>
      <c r="B32" s="57">
        <v>0</v>
      </c>
      <c r="C32" s="58">
        <v>0</v>
      </c>
      <c r="D32" s="58">
        <f t="shared" ref="D32:Y32" si="12">C22</f>
        <v>62.5</v>
      </c>
      <c r="E32" s="58">
        <f t="shared" si="12"/>
        <v>100</v>
      </c>
      <c r="F32" s="58">
        <f t="shared" si="12"/>
        <v>68.75</v>
      </c>
      <c r="G32" s="58">
        <f t="shared" si="12"/>
        <v>75</v>
      </c>
      <c r="H32" s="58">
        <f t="shared" si="12"/>
        <v>162.5</v>
      </c>
      <c r="I32" s="61">
        <f t="shared" si="12"/>
        <v>143.75</v>
      </c>
      <c r="J32" s="101">
        <f t="shared" si="12"/>
        <v>156.25</v>
      </c>
      <c r="K32" s="58">
        <f t="shared" si="12"/>
        <v>93.75</v>
      </c>
      <c r="L32" s="58">
        <f t="shared" si="12"/>
        <v>106.25</v>
      </c>
      <c r="M32" s="58">
        <f t="shared" si="12"/>
        <v>62.5</v>
      </c>
      <c r="N32" s="58">
        <f t="shared" si="12"/>
        <v>0</v>
      </c>
      <c r="O32" s="61">
        <f t="shared" si="12"/>
        <v>0</v>
      </c>
      <c r="P32" s="62">
        <f t="shared" si="12"/>
        <v>0</v>
      </c>
      <c r="Q32" s="62">
        <f t="shared" si="12"/>
        <v>150</v>
      </c>
      <c r="R32" s="63">
        <f t="shared" si="12"/>
        <v>115.63</v>
      </c>
      <c r="S32" s="63">
        <f t="shared" si="12"/>
        <v>137.5</v>
      </c>
      <c r="T32" s="64">
        <f t="shared" si="12"/>
        <v>34.380000000000003</v>
      </c>
      <c r="U32" s="209">
        <f t="shared" si="12"/>
        <v>0</v>
      </c>
      <c r="V32" s="64">
        <f t="shared" si="12"/>
        <v>337.5</v>
      </c>
      <c r="W32" s="58">
        <f t="shared" si="12"/>
        <v>156.25</v>
      </c>
      <c r="X32" s="58">
        <f t="shared" si="12"/>
        <v>6.25</v>
      </c>
      <c r="Y32" s="65">
        <f t="shared" si="12"/>
        <v>0</v>
      </c>
      <c r="Z32" s="1"/>
      <c r="AA32" s="1"/>
      <c r="AB32" s="1"/>
      <c r="AC32" s="1"/>
    </row>
    <row r="33" spans="1:29" ht="15.75" customHeight="1" x14ac:dyDescent="0.25">
      <c r="A33" s="92" t="s">
        <v>24</v>
      </c>
      <c r="B33" s="57">
        <v>0</v>
      </c>
      <c r="C33" s="58">
        <v>0</v>
      </c>
      <c r="D33" s="58">
        <f>C23</f>
        <v>331.25</v>
      </c>
      <c r="E33" s="58">
        <f>ROUND(SUM(E25:E32),2)</f>
        <v>887.51</v>
      </c>
      <c r="F33" s="58">
        <f t="shared" ref="F33:Y33" si="13">ROUND(SUM(F25:F32),2)</f>
        <v>1234.3800000000001</v>
      </c>
      <c r="G33" s="58">
        <f t="shared" si="13"/>
        <v>903.14</v>
      </c>
      <c r="H33" s="58">
        <f t="shared" si="13"/>
        <v>1421.89</v>
      </c>
      <c r="I33" s="61">
        <f t="shared" si="13"/>
        <v>1521.89</v>
      </c>
      <c r="J33" s="64">
        <f t="shared" si="13"/>
        <v>1093.76</v>
      </c>
      <c r="K33" s="58">
        <f t="shared" si="13"/>
        <v>1821.88</v>
      </c>
      <c r="L33" s="58">
        <f t="shared" si="13"/>
        <v>1465.63</v>
      </c>
      <c r="M33" s="58">
        <f t="shared" si="13"/>
        <v>290.63</v>
      </c>
      <c r="N33" s="58">
        <f t="shared" si="13"/>
        <v>156.26</v>
      </c>
      <c r="O33" s="58">
        <f t="shared" si="13"/>
        <v>578.14</v>
      </c>
      <c r="P33" s="61">
        <f t="shared" si="13"/>
        <v>546.88</v>
      </c>
      <c r="Q33" s="62">
        <f t="shared" si="13"/>
        <v>581.26</v>
      </c>
      <c r="R33" s="64">
        <f t="shared" si="13"/>
        <v>328.13</v>
      </c>
      <c r="S33" s="61">
        <f t="shared" si="13"/>
        <v>600</v>
      </c>
      <c r="T33" s="64">
        <f t="shared" si="13"/>
        <v>325.02999999999997</v>
      </c>
      <c r="U33" s="209">
        <f t="shared" si="13"/>
        <v>268.76</v>
      </c>
      <c r="V33" s="64">
        <f t="shared" si="13"/>
        <v>1878.14</v>
      </c>
      <c r="W33" s="58">
        <f t="shared" si="13"/>
        <v>1243.77</v>
      </c>
      <c r="X33" s="58">
        <f t="shared" si="13"/>
        <v>131.26</v>
      </c>
      <c r="Y33" s="277">
        <f t="shared" si="13"/>
        <v>0</v>
      </c>
      <c r="Z33" s="278"/>
      <c r="AA33" s="1"/>
      <c r="AB33" s="1"/>
      <c r="AC33" s="1"/>
    </row>
    <row r="34" spans="1:29" ht="15.75" customHeight="1" x14ac:dyDescent="0.25">
      <c r="A34" s="56" t="s">
        <v>8</v>
      </c>
      <c r="B34" s="102"/>
      <c r="C34" s="86"/>
      <c r="D34" s="86"/>
      <c r="E34" s="95"/>
      <c r="F34" s="95"/>
      <c r="G34" s="95"/>
      <c r="H34" s="86"/>
      <c r="I34" s="104"/>
      <c r="J34" s="103"/>
      <c r="K34" s="86"/>
      <c r="L34" s="86"/>
      <c r="M34" s="86"/>
      <c r="N34" s="86"/>
      <c r="O34" s="104"/>
      <c r="P34" s="105"/>
      <c r="Q34" s="105"/>
      <c r="R34" s="106"/>
      <c r="S34" s="106"/>
      <c r="T34" s="103"/>
      <c r="U34" s="219"/>
      <c r="V34" s="103"/>
      <c r="W34" s="86"/>
      <c r="X34" s="86"/>
      <c r="Y34" s="107"/>
    </row>
    <row r="35" spans="1:29" ht="15.75" customHeight="1" x14ac:dyDescent="0.25">
      <c r="A35" s="66" t="s">
        <v>9</v>
      </c>
      <c r="B35" s="57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61">
        <v>125</v>
      </c>
      <c r="J35" s="64">
        <v>0</v>
      </c>
      <c r="K35" s="58">
        <v>0</v>
      </c>
      <c r="L35" s="58">
        <v>0</v>
      </c>
      <c r="M35" s="58">
        <v>0</v>
      </c>
      <c r="N35" s="58">
        <v>0</v>
      </c>
      <c r="O35" s="61">
        <v>0</v>
      </c>
      <c r="P35" s="62">
        <v>375</v>
      </c>
      <c r="Q35" s="62">
        <v>0</v>
      </c>
      <c r="R35" s="63">
        <v>0</v>
      </c>
      <c r="S35" s="63">
        <v>0</v>
      </c>
      <c r="T35" s="64">
        <v>0</v>
      </c>
      <c r="U35" s="209">
        <v>0</v>
      </c>
      <c r="V35" s="64">
        <v>0</v>
      </c>
      <c r="W35" s="58">
        <v>0</v>
      </c>
      <c r="X35" s="58">
        <v>0</v>
      </c>
      <c r="Y35" s="65">
        <v>0</v>
      </c>
      <c r="Z35" s="1"/>
      <c r="AA35" s="1"/>
      <c r="AB35" s="1"/>
      <c r="AC35" s="1"/>
    </row>
    <row r="36" spans="1:29" ht="15.75" customHeight="1" x14ac:dyDescent="0.25">
      <c r="A36" s="66" t="s">
        <v>10</v>
      </c>
      <c r="B36" s="57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61">
        <v>125</v>
      </c>
      <c r="J36" s="64">
        <v>0</v>
      </c>
      <c r="K36" s="58">
        <v>0</v>
      </c>
      <c r="L36" s="58">
        <v>0</v>
      </c>
      <c r="M36" s="58">
        <v>0</v>
      </c>
      <c r="N36" s="58">
        <v>0</v>
      </c>
      <c r="O36" s="61">
        <v>0</v>
      </c>
      <c r="P36" s="62">
        <v>375</v>
      </c>
      <c r="Q36" s="62">
        <v>0</v>
      </c>
      <c r="R36" s="63">
        <v>0</v>
      </c>
      <c r="S36" s="63">
        <v>0</v>
      </c>
      <c r="T36" s="64">
        <v>0</v>
      </c>
      <c r="U36" s="209">
        <v>0</v>
      </c>
      <c r="V36" s="64">
        <v>0</v>
      </c>
      <c r="W36" s="58">
        <v>0</v>
      </c>
      <c r="X36" s="58">
        <v>0</v>
      </c>
      <c r="Y36" s="65">
        <v>0</v>
      </c>
      <c r="Z36" s="1"/>
      <c r="AA36" s="1"/>
      <c r="AB36" s="1"/>
      <c r="AC36" s="1"/>
    </row>
    <row r="37" spans="1:29" ht="15.75" customHeight="1" x14ac:dyDescent="0.25">
      <c r="A37" s="67" t="s">
        <v>26</v>
      </c>
      <c r="B37" s="57">
        <f>ROUND(SUM(B35:B36),2)</f>
        <v>0</v>
      </c>
      <c r="C37" s="58">
        <f>ROUND(SUM(C35:C36),2)</f>
        <v>0</v>
      </c>
      <c r="D37" s="58">
        <f>ROUND(SUM(D35:D36),2)</f>
        <v>0</v>
      </c>
      <c r="E37" s="108">
        <v>0</v>
      </c>
      <c r="F37" s="58">
        <v>0</v>
      </c>
      <c r="G37" s="58">
        <v>0</v>
      </c>
      <c r="H37" s="58">
        <v>0</v>
      </c>
      <c r="I37" s="61">
        <f>ROUND(SUM(I35:I36),2)</f>
        <v>250</v>
      </c>
      <c r="J37" s="64">
        <v>0</v>
      </c>
      <c r="K37" s="58">
        <v>0</v>
      </c>
      <c r="L37" s="58">
        <f>ROUND(SUM(L35:L36),2)</f>
        <v>0</v>
      </c>
      <c r="M37" s="58">
        <f>ROUND(SUM(M35:M36),2)</f>
        <v>0</v>
      </c>
      <c r="N37" s="58">
        <f>ROUND(SUM(N35:N36),2)</f>
        <v>0</v>
      </c>
      <c r="O37" s="61">
        <f>ROUND(SUM(O35:O36),2)</f>
        <v>0</v>
      </c>
      <c r="P37" s="61">
        <f>ROUND(SUM(P35:P36),2)</f>
        <v>750</v>
      </c>
      <c r="Q37" s="62">
        <v>0</v>
      </c>
      <c r="R37" s="63">
        <f t="shared" ref="R37:Y37" si="14">ROUND(SUM(R35:R36),2)</f>
        <v>0</v>
      </c>
      <c r="S37" s="63">
        <f t="shared" si="14"/>
        <v>0</v>
      </c>
      <c r="T37" s="64">
        <f t="shared" si="14"/>
        <v>0</v>
      </c>
      <c r="U37" s="209">
        <f t="shared" si="14"/>
        <v>0</v>
      </c>
      <c r="V37" s="64">
        <f t="shared" si="14"/>
        <v>0</v>
      </c>
      <c r="W37" s="58">
        <f t="shared" si="14"/>
        <v>0</v>
      </c>
      <c r="X37" s="58">
        <f t="shared" si="14"/>
        <v>0</v>
      </c>
      <c r="Y37" s="65">
        <f t="shared" si="14"/>
        <v>0</v>
      </c>
      <c r="Z37" s="1"/>
      <c r="AA37" s="1"/>
      <c r="AB37" s="1"/>
      <c r="AC37" s="1"/>
    </row>
    <row r="38" spans="1:29" ht="15.75" customHeight="1" x14ac:dyDescent="0.25">
      <c r="A38" s="67" t="s">
        <v>27</v>
      </c>
      <c r="B38" s="57">
        <f>0</f>
        <v>0</v>
      </c>
      <c r="C38" s="58">
        <f>0</f>
        <v>0</v>
      </c>
      <c r="D38" s="58">
        <f>0</f>
        <v>0</v>
      </c>
      <c r="E38" s="58">
        <v>0</v>
      </c>
      <c r="F38" s="58">
        <v>0</v>
      </c>
      <c r="G38" s="109">
        <v>0</v>
      </c>
      <c r="H38" s="58">
        <f>ROUND((0.3008/100)*H11, 2)</f>
        <v>0</v>
      </c>
      <c r="I38" s="61">
        <v>0</v>
      </c>
      <c r="J38" s="110">
        <f>ROUND(((0.3008/100)*(I11)), 2)</f>
        <v>90.24</v>
      </c>
      <c r="K38" s="109">
        <f t="shared" ref="K38:Y38" si="15">ROUND((0.3008/100)*J39, 2)</f>
        <v>90.51</v>
      </c>
      <c r="L38" s="109">
        <f t="shared" si="15"/>
        <v>90.78</v>
      </c>
      <c r="M38" s="109">
        <f t="shared" si="15"/>
        <v>91.06</v>
      </c>
      <c r="N38" s="109">
        <f t="shared" si="15"/>
        <v>91.33</v>
      </c>
      <c r="O38" s="111">
        <f t="shared" si="15"/>
        <v>91.61</v>
      </c>
      <c r="P38" s="112">
        <f t="shared" si="15"/>
        <v>91.88</v>
      </c>
      <c r="Q38" s="112">
        <f t="shared" si="15"/>
        <v>152.32</v>
      </c>
      <c r="R38" s="113">
        <f t="shared" si="15"/>
        <v>152.78</v>
      </c>
      <c r="S38" s="113">
        <f t="shared" si="15"/>
        <v>153.24</v>
      </c>
      <c r="T38" s="110">
        <f t="shared" si="15"/>
        <v>153.69999999999999</v>
      </c>
      <c r="U38" s="220">
        <f t="shared" si="15"/>
        <v>154.16</v>
      </c>
      <c r="V38" s="110">
        <f t="shared" si="15"/>
        <v>154.62</v>
      </c>
      <c r="W38" s="109">
        <f t="shared" si="15"/>
        <v>155.09</v>
      </c>
      <c r="X38" s="109">
        <f t="shared" si="15"/>
        <v>155.55000000000001</v>
      </c>
      <c r="Y38" s="114">
        <f t="shared" si="15"/>
        <v>156.02000000000001</v>
      </c>
      <c r="Z38" s="1"/>
      <c r="AA38" s="1"/>
      <c r="AB38" s="1"/>
      <c r="AC38" s="1"/>
    </row>
    <row r="39" spans="1:29" ht="15.75" customHeight="1" x14ac:dyDescent="0.25">
      <c r="A39" s="115" t="s">
        <v>28</v>
      </c>
      <c r="B39" s="57">
        <v>0</v>
      </c>
      <c r="C39" s="58">
        <v>0</v>
      </c>
      <c r="D39" s="58">
        <v>0</v>
      </c>
      <c r="E39" s="108">
        <v>0</v>
      </c>
      <c r="F39" s="58">
        <v>0</v>
      </c>
      <c r="G39" s="109">
        <v>0</v>
      </c>
      <c r="H39" s="58">
        <f>H11+H38</f>
        <v>0</v>
      </c>
      <c r="I39" s="61">
        <f>I11+I38</f>
        <v>30000</v>
      </c>
      <c r="J39" s="110">
        <f t="shared" ref="J39:O39" si="16">I39+J38</f>
        <v>30090.240000000002</v>
      </c>
      <c r="K39" s="109">
        <f t="shared" si="16"/>
        <v>30180.75</v>
      </c>
      <c r="L39" s="109">
        <f t="shared" si="16"/>
        <v>30271.53</v>
      </c>
      <c r="M39" s="109">
        <f t="shared" si="16"/>
        <v>30362.59</v>
      </c>
      <c r="N39" s="109">
        <f t="shared" si="16"/>
        <v>30453.920000000002</v>
      </c>
      <c r="O39" s="111">
        <f t="shared" si="16"/>
        <v>30545.530000000002</v>
      </c>
      <c r="P39" s="112">
        <f>O39+P38+P11</f>
        <v>50637.41</v>
      </c>
      <c r="Q39" s="112">
        <f t="shared" ref="Q39:Y39" si="17">P39+Q38</f>
        <v>50789.73</v>
      </c>
      <c r="R39" s="113">
        <f t="shared" si="17"/>
        <v>50942.51</v>
      </c>
      <c r="S39" s="113">
        <f t="shared" si="17"/>
        <v>51095.75</v>
      </c>
      <c r="T39" s="110">
        <f t="shared" si="17"/>
        <v>51249.45</v>
      </c>
      <c r="U39" s="220">
        <f t="shared" si="17"/>
        <v>51403.61</v>
      </c>
      <c r="V39" s="110">
        <f t="shared" si="17"/>
        <v>51558.23</v>
      </c>
      <c r="W39" s="109">
        <f t="shared" si="17"/>
        <v>51713.32</v>
      </c>
      <c r="X39" s="109">
        <f t="shared" si="17"/>
        <v>51868.87</v>
      </c>
      <c r="Y39" s="114">
        <f t="shared" si="17"/>
        <v>52024.89</v>
      </c>
      <c r="Z39" s="1"/>
      <c r="AA39" s="1"/>
      <c r="AB39" s="1"/>
      <c r="AC39" s="1"/>
    </row>
    <row r="40" spans="1:29" ht="15.75" customHeight="1" x14ac:dyDescent="0.25">
      <c r="A40" s="116" t="s">
        <v>29</v>
      </c>
      <c r="B40" s="117">
        <f t="shared" ref="B40:Y40" si="18">ROUND((23.5*1400)/52,2)</f>
        <v>632.69000000000005</v>
      </c>
      <c r="C40" s="108">
        <f t="shared" si="18"/>
        <v>632.69000000000005</v>
      </c>
      <c r="D40" s="108">
        <f t="shared" si="18"/>
        <v>632.69000000000005</v>
      </c>
      <c r="E40" s="108">
        <f t="shared" si="18"/>
        <v>632.69000000000005</v>
      </c>
      <c r="F40" s="108">
        <f t="shared" si="18"/>
        <v>632.69000000000005</v>
      </c>
      <c r="G40" s="108">
        <f t="shared" si="18"/>
        <v>632.69000000000005</v>
      </c>
      <c r="H40" s="108">
        <f t="shared" si="18"/>
        <v>632.69000000000005</v>
      </c>
      <c r="I40" s="247">
        <f t="shared" si="18"/>
        <v>632.69000000000005</v>
      </c>
      <c r="J40" s="118">
        <f t="shared" si="18"/>
        <v>632.69000000000005</v>
      </c>
      <c r="K40" s="108">
        <f t="shared" si="18"/>
        <v>632.69000000000005</v>
      </c>
      <c r="L40" s="108">
        <f t="shared" si="18"/>
        <v>632.69000000000005</v>
      </c>
      <c r="M40" s="108">
        <f t="shared" si="18"/>
        <v>632.69000000000005</v>
      </c>
      <c r="N40" s="108">
        <f t="shared" si="18"/>
        <v>632.69000000000005</v>
      </c>
      <c r="O40" s="119">
        <f t="shared" si="18"/>
        <v>632.69000000000005</v>
      </c>
      <c r="P40" s="120">
        <f t="shared" si="18"/>
        <v>632.69000000000005</v>
      </c>
      <c r="Q40" s="120">
        <f t="shared" si="18"/>
        <v>632.69000000000005</v>
      </c>
      <c r="R40" s="121">
        <f t="shared" si="18"/>
        <v>632.69000000000005</v>
      </c>
      <c r="S40" s="121">
        <f t="shared" si="18"/>
        <v>632.69000000000005</v>
      </c>
      <c r="T40" s="118">
        <f t="shared" si="18"/>
        <v>632.69000000000005</v>
      </c>
      <c r="U40" s="221">
        <f t="shared" si="18"/>
        <v>632.69000000000005</v>
      </c>
      <c r="V40" s="118">
        <f t="shared" si="18"/>
        <v>632.69000000000005</v>
      </c>
      <c r="W40" s="108">
        <f t="shared" si="18"/>
        <v>632.69000000000005</v>
      </c>
      <c r="X40" s="108">
        <f t="shared" si="18"/>
        <v>632.69000000000005</v>
      </c>
      <c r="Y40" s="122">
        <f t="shared" si="18"/>
        <v>632.69000000000005</v>
      </c>
      <c r="Z40" s="2"/>
      <c r="AA40" s="2"/>
      <c r="AB40" s="2"/>
      <c r="AC40" s="2"/>
    </row>
    <row r="41" spans="1:29" ht="15.75" customHeight="1" x14ac:dyDescent="0.25">
      <c r="A41" s="67" t="s">
        <v>30</v>
      </c>
      <c r="B41" s="57">
        <v>0</v>
      </c>
      <c r="C41" s="58">
        <v>0</v>
      </c>
      <c r="D41" s="58">
        <v>0</v>
      </c>
      <c r="E41" s="58">
        <f>SUM(B40,C40,D40,E40)</f>
        <v>2530.7600000000002</v>
      </c>
      <c r="F41" s="58">
        <v>0</v>
      </c>
      <c r="G41" s="58">
        <v>0</v>
      </c>
      <c r="H41" s="58">
        <v>1898.07</v>
      </c>
      <c r="I41" s="61">
        <v>0</v>
      </c>
      <c r="J41" s="64">
        <v>0</v>
      </c>
      <c r="K41" s="58">
        <f>1898.07</f>
        <v>1898.07</v>
      </c>
      <c r="L41" s="58">
        <v>0</v>
      </c>
      <c r="M41" s="58">
        <v>0</v>
      </c>
      <c r="N41" s="58">
        <v>0</v>
      </c>
      <c r="O41" s="61">
        <v>0</v>
      </c>
      <c r="P41" s="62">
        <v>0</v>
      </c>
      <c r="Q41" s="62">
        <v>0</v>
      </c>
      <c r="R41" s="63">
        <v>0</v>
      </c>
      <c r="S41" s="63">
        <f>SUM(L40:S40)</f>
        <v>5061.5200000000004</v>
      </c>
      <c r="T41" s="64">
        <v>0</v>
      </c>
      <c r="U41" s="209">
        <v>0</v>
      </c>
      <c r="V41" s="64">
        <f>SUM(T40:V40)</f>
        <v>1898.0700000000002</v>
      </c>
      <c r="W41" s="58">
        <v>0</v>
      </c>
      <c r="X41" s="58">
        <v>0</v>
      </c>
      <c r="Y41" s="65">
        <f>SUM(W40:Y40)</f>
        <v>1898.0700000000002</v>
      </c>
      <c r="Z41" s="1"/>
      <c r="AA41" s="1"/>
      <c r="AB41" s="1"/>
      <c r="AC41" s="1"/>
    </row>
    <row r="42" spans="1:29" ht="15.75" customHeight="1" x14ac:dyDescent="0.25">
      <c r="A42" s="123" t="s">
        <v>31</v>
      </c>
      <c r="B42" s="124">
        <v>50</v>
      </c>
      <c r="C42" s="125">
        <v>50</v>
      </c>
      <c r="D42" s="125">
        <v>50</v>
      </c>
      <c r="E42" s="108">
        <v>50</v>
      </c>
      <c r="F42" s="108">
        <v>50</v>
      </c>
      <c r="G42" s="108">
        <v>50</v>
      </c>
      <c r="H42" s="108">
        <v>50</v>
      </c>
      <c r="I42" s="119">
        <v>50</v>
      </c>
      <c r="J42" s="126">
        <v>50</v>
      </c>
      <c r="K42" s="125">
        <v>50</v>
      </c>
      <c r="L42" s="125">
        <v>50</v>
      </c>
      <c r="M42" s="125">
        <v>50</v>
      </c>
      <c r="N42" s="125">
        <v>50</v>
      </c>
      <c r="O42" s="127">
        <v>50</v>
      </c>
      <c r="P42" s="128">
        <v>50</v>
      </c>
      <c r="Q42" s="128">
        <v>50</v>
      </c>
      <c r="R42" s="129">
        <v>50</v>
      </c>
      <c r="S42" s="129">
        <v>50</v>
      </c>
      <c r="T42" s="126">
        <v>50</v>
      </c>
      <c r="U42" s="222">
        <v>50</v>
      </c>
      <c r="V42" s="126">
        <v>50</v>
      </c>
      <c r="W42" s="125">
        <v>50</v>
      </c>
      <c r="X42" s="125">
        <v>50</v>
      </c>
      <c r="Y42" s="130">
        <v>50</v>
      </c>
      <c r="Z42" s="1"/>
      <c r="AA42" s="1"/>
      <c r="AB42" s="1"/>
      <c r="AC42" s="1"/>
    </row>
    <row r="43" spans="1:29" ht="15.75" customHeight="1" x14ac:dyDescent="0.25">
      <c r="A43" s="67" t="s">
        <v>32</v>
      </c>
      <c r="B43" s="57">
        <v>0</v>
      </c>
      <c r="C43" s="58">
        <v>0</v>
      </c>
      <c r="D43" s="58">
        <v>0</v>
      </c>
      <c r="E43" s="58">
        <v>0</v>
      </c>
      <c r="F43" s="58">
        <v>0</v>
      </c>
      <c r="G43" s="58">
        <f>SUM(B42,C42,D42,E42,F42,G42)</f>
        <v>300</v>
      </c>
      <c r="H43" s="58">
        <v>0</v>
      </c>
      <c r="I43" s="61">
        <v>0</v>
      </c>
      <c r="J43" s="64">
        <v>0</v>
      </c>
      <c r="K43" s="58">
        <f>SUM(50, 50, J42:K42)</f>
        <v>200</v>
      </c>
      <c r="L43" s="58">
        <v>0</v>
      </c>
      <c r="M43" s="58">
        <v>0</v>
      </c>
      <c r="N43" s="58">
        <v>0</v>
      </c>
      <c r="O43" s="61">
        <v>0</v>
      </c>
      <c r="P43" s="62">
        <v>0</v>
      </c>
      <c r="Q43" s="62">
        <v>0</v>
      </c>
      <c r="R43" s="63">
        <v>0</v>
      </c>
      <c r="S43" s="63">
        <v>0</v>
      </c>
      <c r="T43" s="64">
        <v>0</v>
      </c>
      <c r="U43" s="209">
        <f>SUM(L42:U42)</f>
        <v>500</v>
      </c>
      <c r="V43" s="64">
        <v>0</v>
      </c>
      <c r="W43" s="58">
        <v>0</v>
      </c>
      <c r="X43" s="58">
        <v>0</v>
      </c>
      <c r="Y43" s="65">
        <f>SUM(V42:Y42)</f>
        <v>200</v>
      </c>
      <c r="Z43" s="1"/>
      <c r="AA43" s="1"/>
      <c r="AB43" s="1"/>
      <c r="AC43" s="1"/>
    </row>
    <row r="44" spans="1:29" ht="15.75" customHeight="1" x14ac:dyDescent="0.25">
      <c r="A44" s="116" t="s">
        <v>33</v>
      </c>
      <c r="B44" s="117">
        <v>100</v>
      </c>
      <c r="C44" s="108">
        <v>100</v>
      </c>
      <c r="D44" s="108">
        <v>100</v>
      </c>
      <c r="E44" s="108">
        <v>100</v>
      </c>
      <c r="F44" s="108">
        <v>100</v>
      </c>
      <c r="G44" s="108">
        <v>100</v>
      </c>
      <c r="H44" s="108">
        <v>100</v>
      </c>
      <c r="I44" s="119">
        <v>100</v>
      </c>
      <c r="J44" s="118">
        <v>100</v>
      </c>
      <c r="K44" s="108">
        <v>100</v>
      </c>
      <c r="L44" s="108">
        <v>100</v>
      </c>
      <c r="M44" s="108">
        <v>100</v>
      </c>
      <c r="N44" s="108">
        <v>100</v>
      </c>
      <c r="O44" s="119">
        <v>100</v>
      </c>
      <c r="P44" s="120">
        <v>100</v>
      </c>
      <c r="Q44" s="120">
        <v>100</v>
      </c>
      <c r="R44" s="121">
        <v>100</v>
      </c>
      <c r="S44" s="121">
        <v>100</v>
      </c>
      <c r="T44" s="118">
        <v>100</v>
      </c>
      <c r="U44" s="221">
        <v>100</v>
      </c>
      <c r="V44" s="118">
        <v>100</v>
      </c>
      <c r="W44" s="108">
        <v>100</v>
      </c>
      <c r="X44" s="108">
        <v>100</v>
      </c>
      <c r="Y44" s="122">
        <v>100</v>
      </c>
      <c r="Z44" s="2"/>
      <c r="AA44" s="2"/>
      <c r="AB44" s="2"/>
      <c r="AC44" s="2"/>
    </row>
    <row r="45" spans="1:29" ht="15.75" customHeight="1" x14ac:dyDescent="0.25">
      <c r="A45" s="67" t="s">
        <v>34</v>
      </c>
      <c r="B45" s="57">
        <v>0</v>
      </c>
      <c r="C45" s="58">
        <v>0</v>
      </c>
      <c r="D45" s="58">
        <v>0</v>
      </c>
      <c r="E45" s="58">
        <v>0</v>
      </c>
      <c r="F45" s="58">
        <v>0</v>
      </c>
      <c r="G45" s="58">
        <f>SUM(B44,C44,D44,E44,F44,G44)</f>
        <v>600</v>
      </c>
      <c r="H45" s="58">
        <v>0</v>
      </c>
      <c r="I45" s="61">
        <v>0</v>
      </c>
      <c r="J45" s="64">
        <v>0</v>
      </c>
      <c r="K45" s="58">
        <f>SUM(100, 100, J44:K44)</f>
        <v>400</v>
      </c>
      <c r="L45" s="58">
        <v>0</v>
      </c>
      <c r="M45" s="58">
        <v>0</v>
      </c>
      <c r="N45" s="58">
        <v>0</v>
      </c>
      <c r="O45" s="61">
        <v>0</v>
      </c>
      <c r="P45" s="62">
        <v>0</v>
      </c>
      <c r="Q45" s="62">
        <v>0</v>
      </c>
      <c r="R45" s="63">
        <v>0</v>
      </c>
      <c r="S45" s="63">
        <v>0</v>
      </c>
      <c r="T45" s="64">
        <v>0</v>
      </c>
      <c r="U45" s="209">
        <f>SUM(L44:U44)</f>
        <v>1000</v>
      </c>
      <c r="V45" s="64">
        <v>0</v>
      </c>
      <c r="W45" s="58">
        <v>0</v>
      </c>
      <c r="X45" s="58">
        <v>0</v>
      </c>
      <c r="Y45" s="65">
        <f>SUM(V44:Y44)</f>
        <v>400</v>
      </c>
      <c r="Z45" s="1"/>
      <c r="AA45" s="1"/>
      <c r="AB45" s="1"/>
      <c r="AC45" s="1"/>
    </row>
    <row r="46" spans="1:29" ht="15.75" customHeight="1" x14ac:dyDescent="0.25">
      <c r="A46" s="36" t="s">
        <v>35</v>
      </c>
      <c r="B46" s="131">
        <f t="shared" ref="B46:Y46" si="19">SUM(B41,B43,B45)</f>
        <v>0</v>
      </c>
      <c r="C46" s="132">
        <f t="shared" si="19"/>
        <v>0</v>
      </c>
      <c r="D46" s="69">
        <f t="shared" si="19"/>
        <v>0</v>
      </c>
      <c r="E46" s="132">
        <f t="shared" si="19"/>
        <v>2530.7600000000002</v>
      </c>
      <c r="F46" s="132">
        <f t="shared" si="19"/>
        <v>0</v>
      </c>
      <c r="G46" s="132">
        <f t="shared" si="19"/>
        <v>900</v>
      </c>
      <c r="H46" s="132">
        <f t="shared" si="19"/>
        <v>1898.07</v>
      </c>
      <c r="I46" s="248">
        <f t="shared" si="19"/>
        <v>0</v>
      </c>
      <c r="J46" s="70">
        <f t="shared" si="19"/>
        <v>0</v>
      </c>
      <c r="K46" s="69">
        <f t="shared" si="19"/>
        <v>2498.0699999999997</v>
      </c>
      <c r="L46" s="69">
        <f t="shared" si="19"/>
        <v>0</v>
      </c>
      <c r="M46" s="69">
        <f t="shared" si="19"/>
        <v>0</v>
      </c>
      <c r="N46" s="69">
        <f t="shared" si="19"/>
        <v>0</v>
      </c>
      <c r="O46" s="71">
        <f t="shared" si="19"/>
        <v>0</v>
      </c>
      <c r="P46" s="72">
        <f t="shared" si="19"/>
        <v>0</v>
      </c>
      <c r="Q46" s="72">
        <f t="shared" si="19"/>
        <v>0</v>
      </c>
      <c r="R46" s="73">
        <f t="shared" si="19"/>
        <v>0</v>
      </c>
      <c r="S46" s="73">
        <f t="shared" si="19"/>
        <v>5061.5200000000004</v>
      </c>
      <c r="T46" s="70">
        <f t="shared" si="19"/>
        <v>0</v>
      </c>
      <c r="U46" s="210">
        <f t="shared" si="19"/>
        <v>1500</v>
      </c>
      <c r="V46" s="70">
        <f t="shared" si="19"/>
        <v>1898.0700000000002</v>
      </c>
      <c r="W46" s="69">
        <f t="shared" si="19"/>
        <v>0</v>
      </c>
      <c r="X46" s="69">
        <f t="shared" si="19"/>
        <v>0</v>
      </c>
      <c r="Y46" s="74">
        <f t="shared" si="19"/>
        <v>2498.0700000000002</v>
      </c>
    </row>
    <row r="47" spans="1:29" ht="15.75" customHeight="1" thickBot="1" x14ac:dyDescent="0.3">
      <c r="A47" s="133" t="s">
        <v>36</v>
      </c>
      <c r="B47" s="134">
        <f>SUM(B30:B32,B41,B43,B45, B35, B38)</f>
        <v>0</v>
      </c>
      <c r="C47" s="135">
        <f>SUM(C30:C32,C41,C43,C45, C35, C38)</f>
        <v>0</v>
      </c>
      <c r="D47" s="135">
        <f>SUM(ROUND(SUM(D25:D32), 2),D41,D43,D45, D35, D38)</f>
        <v>331.25</v>
      </c>
      <c r="E47" s="135">
        <f t="shared" ref="E47:Y47" si="20">SUM(ROUND(SUM(E25:E32), 2),E41,E43,E45, E35, E38)</f>
        <v>3418.2700000000004</v>
      </c>
      <c r="F47" s="135">
        <f t="shared" si="20"/>
        <v>1234.3800000000001</v>
      </c>
      <c r="G47" s="135">
        <f t="shared" si="20"/>
        <v>1803.1399999999999</v>
      </c>
      <c r="H47" s="135">
        <f t="shared" si="20"/>
        <v>3319.96</v>
      </c>
      <c r="I47" s="136">
        <f>SUM(ROUND(SUM(I25:I32), 2),I41,I43,I45, I37, I38)</f>
        <v>1771.89</v>
      </c>
      <c r="J47" s="138">
        <f t="shared" si="20"/>
        <v>1184</v>
      </c>
      <c r="K47" s="135">
        <f t="shared" si="20"/>
        <v>4410.46</v>
      </c>
      <c r="L47" s="135">
        <f t="shared" si="20"/>
        <v>1556.41</v>
      </c>
      <c r="M47" s="135">
        <f t="shared" si="20"/>
        <v>381.69</v>
      </c>
      <c r="N47" s="135">
        <f t="shared" si="20"/>
        <v>247.58999999999997</v>
      </c>
      <c r="O47" s="135">
        <f t="shared" si="20"/>
        <v>669.75</v>
      </c>
      <c r="P47" s="136">
        <f>SUM(ROUND(SUM(P25:P32), 2),P41,P43,P45, P37, P38)</f>
        <v>1388.7600000000002</v>
      </c>
      <c r="Q47" s="137">
        <f>SUM(ROUND(SUM(Q25:Q32), 2),Q41,Q43,Q45, Q35, Q38)</f>
        <v>733.57999999999993</v>
      </c>
      <c r="R47" s="138">
        <f t="shared" si="20"/>
        <v>480.90999999999997</v>
      </c>
      <c r="S47" s="136">
        <f t="shared" si="20"/>
        <v>5814.76</v>
      </c>
      <c r="T47" s="138">
        <f t="shared" si="20"/>
        <v>478.72999999999996</v>
      </c>
      <c r="U47" s="223">
        <f t="shared" si="20"/>
        <v>1922.92</v>
      </c>
      <c r="V47" s="138">
        <f t="shared" si="20"/>
        <v>3930.83</v>
      </c>
      <c r="W47" s="135">
        <f t="shared" si="20"/>
        <v>1398.86</v>
      </c>
      <c r="X47" s="135">
        <f t="shared" si="20"/>
        <v>286.81</v>
      </c>
      <c r="Y47" s="139">
        <f t="shared" si="20"/>
        <v>2654.09</v>
      </c>
      <c r="Z47" s="27"/>
    </row>
    <row r="48" spans="1:29" ht="15.75" customHeight="1" x14ac:dyDescent="0.25">
      <c r="A48" s="140" t="s">
        <v>37</v>
      </c>
      <c r="B48" s="258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60"/>
    </row>
    <row r="49" spans="1:29" ht="15.75" customHeight="1" x14ac:dyDescent="0.25">
      <c r="A49" s="141" t="s">
        <v>38</v>
      </c>
      <c r="B49" s="255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7"/>
    </row>
    <row r="50" spans="1:29" ht="15.75" customHeight="1" x14ac:dyDescent="0.25">
      <c r="A50" s="66" t="s">
        <v>39</v>
      </c>
      <c r="B50" s="142">
        <v>0</v>
      </c>
      <c r="C50" s="60">
        <f t="shared" ref="C50:Y50" si="21">B52</f>
        <v>0</v>
      </c>
      <c r="D50" s="59">
        <f t="shared" si="21"/>
        <v>0</v>
      </c>
      <c r="E50" s="59">
        <f t="shared" si="21"/>
        <v>-331.25</v>
      </c>
      <c r="F50" s="59">
        <f t="shared" si="21"/>
        <v>-3749.5200000000004</v>
      </c>
      <c r="G50" s="59">
        <f t="shared" si="21"/>
        <v>-4983.9000000000005</v>
      </c>
      <c r="H50" s="59">
        <f t="shared" si="21"/>
        <v>-6787.0400000000009</v>
      </c>
      <c r="I50" s="143">
        <f t="shared" si="21"/>
        <v>-10107</v>
      </c>
      <c r="J50" s="59">
        <f t="shared" si="21"/>
        <v>18371.11</v>
      </c>
      <c r="K50" s="60">
        <f t="shared" si="21"/>
        <v>17187.11</v>
      </c>
      <c r="L50" s="60">
        <f t="shared" si="21"/>
        <v>12776.650000000001</v>
      </c>
      <c r="M50" s="60">
        <f t="shared" si="21"/>
        <v>11220.240000000002</v>
      </c>
      <c r="N50" s="60">
        <f t="shared" si="21"/>
        <v>10838.550000000001</v>
      </c>
      <c r="O50" s="143">
        <f t="shared" si="21"/>
        <v>10590.960000000001</v>
      </c>
      <c r="P50" s="24">
        <f t="shared" si="21"/>
        <v>9921.2100000000009</v>
      </c>
      <c r="Q50" s="24">
        <f t="shared" si="21"/>
        <v>29282.449999999997</v>
      </c>
      <c r="R50" s="21">
        <f t="shared" si="21"/>
        <v>28548.869999999995</v>
      </c>
      <c r="S50" s="24">
        <f t="shared" si="21"/>
        <v>28067.959999999995</v>
      </c>
      <c r="T50" s="59">
        <f t="shared" si="21"/>
        <v>22253.199999999997</v>
      </c>
      <c r="U50" s="225">
        <f t="shared" si="21"/>
        <v>21774.469999999998</v>
      </c>
      <c r="V50" s="59">
        <f t="shared" si="21"/>
        <v>19851.549999999996</v>
      </c>
      <c r="W50" s="60">
        <f t="shared" si="21"/>
        <v>15920.719999999996</v>
      </c>
      <c r="X50" s="60">
        <f t="shared" si="21"/>
        <v>14521.859999999995</v>
      </c>
      <c r="Y50" s="144">
        <f t="shared" si="21"/>
        <v>14235.049999999996</v>
      </c>
    </row>
    <row r="51" spans="1:29" ht="15.75" customHeight="1" x14ac:dyDescent="0.25">
      <c r="A51" s="66" t="s">
        <v>40</v>
      </c>
      <c r="B51" s="142">
        <f t="shared" ref="B51:Y51" si="22">B12-B47</f>
        <v>0</v>
      </c>
      <c r="C51" s="60">
        <f t="shared" si="22"/>
        <v>0</v>
      </c>
      <c r="D51" s="59">
        <f t="shared" si="22"/>
        <v>-331.25</v>
      </c>
      <c r="E51" s="59">
        <f t="shared" si="22"/>
        <v>-3418.2700000000004</v>
      </c>
      <c r="F51" s="59">
        <f t="shared" si="22"/>
        <v>-1234.3800000000001</v>
      </c>
      <c r="G51" s="59">
        <f t="shared" si="22"/>
        <v>-1803.1399999999999</v>
      </c>
      <c r="H51" s="59">
        <f t="shared" si="22"/>
        <v>-3319.96</v>
      </c>
      <c r="I51" s="143">
        <f>I12-I47</f>
        <v>28478.11</v>
      </c>
      <c r="J51" s="59">
        <f t="shared" si="22"/>
        <v>-1184</v>
      </c>
      <c r="K51" s="60">
        <f t="shared" si="22"/>
        <v>-4410.46</v>
      </c>
      <c r="L51" s="60">
        <f t="shared" si="22"/>
        <v>-1556.41</v>
      </c>
      <c r="M51" s="60">
        <f t="shared" si="22"/>
        <v>-381.69</v>
      </c>
      <c r="N51" s="60">
        <f t="shared" si="22"/>
        <v>-247.58999999999997</v>
      </c>
      <c r="O51" s="143">
        <f t="shared" si="22"/>
        <v>-669.75</v>
      </c>
      <c r="P51" s="24">
        <f t="shared" si="22"/>
        <v>19361.239999999998</v>
      </c>
      <c r="Q51" s="24">
        <f t="shared" si="22"/>
        <v>-733.57999999999993</v>
      </c>
      <c r="R51" s="21">
        <f t="shared" si="22"/>
        <v>-480.90999999999997</v>
      </c>
      <c r="S51" s="24">
        <f t="shared" si="22"/>
        <v>-5814.76</v>
      </c>
      <c r="T51" s="59">
        <f t="shared" si="22"/>
        <v>-478.72999999999996</v>
      </c>
      <c r="U51" s="225">
        <f t="shared" si="22"/>
        <v>-1922.92</v>
      </c>
      <c r="V51" s="59">
        <f t="shared" si="22"/>
        <v>-3930.83</v>
      </c>
      <c r="W51" s="60">
        <f t="shared" si="22"/>
        <v>-1398.86</v>
      </c>
      <c r="X51" s="60">
        <f t="shared" si="22"/>
        <v>-286.81</v>
      </c>
      <c r="Y51" s="144">
        <f t="shared" si="22"/>
        <v>-2654.09</v>
      </c>
    </row>
    <row r="52" spans="1:29" ht="15.75" customHeight="1" thickBot="1" x14ac:dyDescent="0.3">
      <c r="A52" s="145" t="s">
        <v>41</v>
      </c>
      <c r="B52" s="146">
        <f t="shared" ref="B52:Y52" si="23">B50+B51</f>
        <v>0</v>
      </c>
      <c r="C52" s="147">
        <f t="shared" si="23"/>
        <v>0</v>
      </c>
      <c r="D52" s="148">
        <f t="shared" si="23"/>
        <v>-331.25</v>
      </c>
      <c r="E52" s="148">
        <f t="shared" si="23"/>
        <v>-3749.5200000000004</v>
      </c>
      <c r="F52" s="148">
        <f t="shared" si="23"/>
        <v>-4983.9000000000005</v>
      </c>
      <c r="G52" s="148">
        <f t="shared" si="23"/>
        <v>-6787.0400000000009</v>
      </c>
      <c r="H52" s="148">
        <f t="shared" si="23"/>
        <v>-10107</v>
      </c>
      <c r="I52" s="149">
        <f t="shared" si="23"/>
        <v>18371.11</v>
      </c>
      <c r="J52" s="148">
        <f t="shared" si="23"/>
        <v>17187.11</v>
      </c>
      <c r="K52" s="147">
        <f t="shared" si="23"/>
        <v>12776.650000000001</v>
      </c>
      <c r="L52" s="147">
        <f t="shared" si="23"/>
        <v>11220.240000000002</v>
      </c>
      <c r="M52" s="147">
        <f t="shared" si="23"/>
        <v>10838.550000000001</v>
      </c>
      <c r="N52" s="147">
        <f t="shared" si="23"/>
        <v>10590.960000000001</v>
      </c>
      <c r="O52" s="149">
        <f t="shared" si="23"/>
        <v>9921.2100000000009</v>
      </c>
      <c r="P52" s="150">
        <f t="shared" si="23"/>
        <v>29282.449999999997</v>
      </c>
      <c r="Q52" s="150">
        <f t="shared" si="23"/>
        <v>28548.869999999995</v>
      </c>
      <c r="R52" s="151">
        <f t="shared" si="23"/>
        <v>28067.959999999995</v>
      </c>
      <c r="S52" s="150">
        <f t="shared" si="23"/>
        <v>22253.199999999997</v>
      </c>
      <c r="T52" s="148">
        <f t="shared" si="23"/>
        <v>21774.469999999998</v>
      </c>
      <c r="U52" s="226">
        <f t="shared" si="23"/>
        <v>19851.549999999996</v>
      </c>
      <c r="V52" s="148">
        <f t="shared" si="23"/>
        <v>15920.719999999996</v>
      </c>
      <c r="W52" s="147">
        <f t="shared" si="23"/>
        <v>14521.859999999995</v>
      </c>
      <c r="X52" s="147">
        <f t="shared" si="23"/>
        <v>14235.049999999996</v>
      </c>
      <c r="Y52" s="152">
        <f t="shared" si="23"/>
        <v>11580.959999999995</v>
      </c>
    </row>
    <row r="53" spans="1:29" ht="15.75" customHeight="1" thickTop="1" x14ac:dyDescent="0.25">
      <c r="A53" s="141" t="s">
        <v>42</v>
      </c>
      <c r="B53" s="273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65"/>
      <c r="P53" s="153"/>
      <c r="Q53" s="154"/>
      <c r="R53" s="155"/>
      <c r="S53" s="156"/>
      <c r="T53" s="155"/>
      <c r="U53" s="227"/>
      <c r="V53" s="224"/>
      <c r="W53" s="156"/>
      <c r="X53" s="156"/>
      <c r="Y53" s="157"/>
      <c r="Z53" s="3"/>
      <c r="AA53" s="3"/>
      <c r="AB53" s="3"/>
      <c r="AC53" s="3"/>
    </row>
    <row r="54" spans="1:29" ht="15.75" customHeight="1" x14ac:dyDescent="0.25">
      <c r="A54" s="66" t="s">
        <v>39</v>
      </c>
      <c r="B54" s="57">
        <v>0</v>
      </c>
      <c r="C54" s="58">
        <v>0</v>
      </c>
      <c r="D54" s="58">
        <v>0</v>
      </c>
      <c r="E54" s="58">
        <f t="shared" ref="E54:O54" si="24">D56</f>
        <v>-1375.01</v>
      </c>
      <c r="F54" s="58">
        <f t="shared" si="24"/>
        <v>-5005.78</v>
      </c>
      <c r="G54" s="58">
        <f t="shared" si="24"/>
        <v>-6362.03</v>
      </c>
      <c r="H54" s="58">
        <f t="shared" si="24"/>
        <v>-9208.92</v>
      </c>
      <c r="I54" s="61">
        <f t="shared" si="24"/>
        <v>16893.379999999997</v>
      </c>
      <c r="J54" s="64">
        <f t="shared" si="24"/>
        <v>15165.349999999997</v>
      </c>
      <c r="K54" s="58">
        <f t="shared" si="24"/>
        <v>13374.549999999997</v>
      </c>
      <c r="L54" s="58">
        <f t="shared" si="24"/>
        <v>9119.7699999999968</v>
      </c>
      <c r="M54" s="58">
        <f t="shared" si="24"/>
        <v>7606.5499999999965</v>
      </c>
      <c r="N54" s="58">
        <f t="shared" si="24"/>
        <v>6561.8099999999968</v>
      </c>
      <c r="O54" s="61">
        <f t="shared" si="24"/>
        <v>5529.2999999999965</v>
      </c>
      <c r="P54" s="62">
        <f t="shared" ref="P54:Y54" si="25">O56</f>
        <v>4559.0099999999966</v>
      </c>
      <c r="Q54" s="158">
        <f t="shared" si="25"/>
        <v>23985.32</v>
      </c>
      <c r="R54" s="159">
        <f t="shared" si="25"/>
        <v>23185.57</v>
      </c>
      <c r="S54" s="161">
        <f t="shared" si="25"/>
        <v>22385.360000000001</v>
      </c>
      <c r="T54" s="160">
        <f t="shared" si="25"/>
        <v>16251.29</v>
      </c>
      <c r="U54" s="228">
        <f t="shared" si="25"/>
        <v>14943.890000000001</v>
      </c>
      <c r="V54" s="159">
        <f t="shared" si="25"/>
        <v>12411.03</v>
      </c>
      <c r="W54" s="161">
        <f t="shared" si="25"/>
        <v>9292.130000000001</v>
      </c>
      <c r="X54" s="161">
        <f t="shared" si="25"/>
        <v>7892.7100000000009</v>
      </c>
      <c r="Y54" s="162">
        <f t="shared" si="25"/>
        <v>7605.3300000000008</v>
      </c>
      <c r="Z54" s="3"/>
      <c r="AA54" s="3"/>
      <c r="AB54" s="3"/>
      <c r="AC54" s="3"/>
    </row>
    <row r="55" spans="1:29" ht="15.75" customHeight="1" x14ac:dyDescent="0.25">
      <c r="A55" s="66" t="s">
        <v>40</v>
      </c>
      <c r="B55" s="57">
        <v>0</v>
      </c>
      <c r="C55" s="58">
        <v>0</v>
      </c>
      <c r="D55" s="58">
        <v>-1375.01</v>
      </c>
      <c r="E55" s="58">
        <v>-3630.77</v>
      </c>
      <c r="F55" s="58">
        <v>-1356.25</v>
      </c>
      <c r="G55" s="58">
        <v>-2846.89</v>
      </c>
      <c r="H55" s="58">
        <v>26102.3</v>
      </c>
      <c r="I55" s="61">
        <v>-1728.03</v>
      </c>
      <c r="J55" s="64">
        <v>-1790.8</v>
      </c>
      <c r="K55" s="58">
        <v>-4254.78</v>
      </c>
      <c r="L55" s="58">
        <v>-1513.22</v>
      </c>
      <c r="M55" s="58">
        <v>-1044.74</v>
      </c>
      <c r="N55" s="58">
        <v>-1032.51</v>
      </c>
      <c r="O55" s="61">
        <v>-970.29</v>
      </c>
      <c r="P55" s="62">
        <v>19426.310000000001</v>
      </c>
      <c r="Q55" s="62">
        <v>-799.75</v>
      </c>
      <c r="R55" s="63">
        <v>-800.21</v>
      </c>
      <c r="S55" s="164">
        <v>-6134.07</v>
      </c>
      <c r="T55" s="163">
        <v>-1307.4000000000001</v>
      </c>
      <c r="U55" s="229">
        <v>-2532.86</v>
      </c>
      <c r="V55" s="163">
        <v>-3118.9</v>
      </c>
      <c r="W55" s="164">
        <v>-1399.42</v>
      </c>
      <c r="X55" s="164">
        <v>-287.38</v>
      </c>
      <c r="Y55" s="165">
        <v>-2654.66</v>
      </c>
      <c r="Z55" s="3"/>
      <c r="AA55" s="3"/>
      <c r="AB55" s="3"/>
      <c r="AC55" s="3"/>
    </row>
    <row r="56" spans="1:29" ht="15.75" customHeight="1" thickBot="1" x14ac:dyDescent="0.3">
      <c r="A56" s="166" t="s">
        <v>41</v>
      </c>
      <c r="B56" s="131">
        <v>0</v>
      </c>
      <c r="C56" s="132">
        <v>0</v>
      </c>
      <c r="D56" s="132">
        <f t="shared" ref="D56:I56" si="26">SUM(D54:D55)</f>
        <v>-1375.01</v>
      </c>
      <c r="E56" s="132">
        <f t="shared" si="26"/>
        <v>-5005.78</v>
      </c>
      <c r="F56" s="132">
        <f t="shared" si="26"/>
        <v>-6362.03</v>
      </c>
      <c r="G56" s="132">
        <f t="shared" si="26"/>
        <v>-9208.92</v>
      </c>
      <c r="H56" s="132">
        <f t="shared" si="26"/>
        <v>16893.379999999997</v>
      </c>
      <c r="I56" s="249">
        <f t="shared" si="26"/>
        <v>15165.349999999997</v>
      </c>
      <c r="J56" s="167">
        <f t="shared" ref="J56:Y56" si="27">J54+J55</f>
        <v>13374.549999999997</v>
      </c>
      <c r="K56" s="168">
        <f t="shared" si="27"/>
        <v>9119.7699999999968</v>
      </c>
      <c r="L56" s="168">
        <f t="shared" si="27"/>
        <v>7606.5499999999965</v>
      </c>
      <c r="M56" s="168">
        <f t="shared" si="27"/>
        <v>6561.8099999999968</v>
      </c>
      <c r="N56" s="168">
        <f t="shared" si="27"/>
        <v>5529.2999999999965</v>
      </c>
      <c r="O56" s="169">
        <f t="shared" si="27"/>
        <v>4559.0099999999966</v>
      </c>
      <c r="P56" s="170">
        <f t="shared" si="27"/>
        <v>23985.32</v>
      </c>
      <c r="Q56" s="171">
        <f t="shared" si="27"/>
        <v>23185.57</v>
      </c>
      <c r="R56" s="172">
        <f t="shared" si="27"/>
        <v>22385.360000000001</v>
      </c>
      <c r="S56" s="171">
        <f t="shared" si="27"/>
        <v>16251.29</v>
      </c>
      <c r="T56" s="172">
        <f t="shared" si="27"/>
        <v>14943.890000000001</v>
      </c>
      <c r="U56" s="230">
        <f t="shared" si="27"/>
        <v>12411.03</v>
      </c>
      <c r="V56" s="172">
        <f t="shared" si="27"/>
        <v>9292.130000000001</v>
      </c>
      <c r="W56" s="171">
        <f t="shared" si="27"/>
        <v>7892.7100000000009</v>
      </c>
      <c r="X56" s="171">
        <f t="shared" si="27"/>
        <v>7605.3300000000008</v>
      </c>
      <c r="Y56" s="173">
        <f t="shared" si="27"/>
        <v>4950.670000000001</v>
      </c>
      <c r="Z56" s="3"/>
      <c r="AA56" s="3"/>
      <c r="AB56" s="3"/>
      <c r="AC56" s="3"/>
    </row>
    <row r="57" spans="1:29" ht="15.75" customHeight="1" thickTop="1" x14ac:dyDescent="0.25">
      <c r="A57" s="174" t="s">
        <v>43</v>
      </c>
      <c r="B57" s="273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65"/>
      <c r="P57" s="175"/>
      <c r="Q57" s="154"/>
      <c r="R57" s="176"/>
      <c r="S57" s="177"/>
      <c r="T57" s="176"/>
      <c r="U57" s="231"/>
      <c r="V57" s="176"/>
      <c r="W57" s="177"/>
      <c r="X57" s="177"/>
      <c r="Y57" s="178"/>
      <c r="Z57" s="3"/>
      <c r="AA57" s="3"/>
      <c r="AB57" s="3"/>
      <c r="AC57" s="3"/>
    </row>
    <row r="58" spans="1:29" ht="15.75" customHeight="1" x14ac:dyDescent="0.25">
      <c r="A58" s="66" t="s">
        <v>39</v>
      </c>
      <c r="B58" s="179">
        <f t="shared" ref="B58:Y58" si="28">B54-B50</f>
        <v>0</v>
      </c>
      <c r="C58" s="180">
        <f t="shared" si="28"/>
        <v>0</v>
      </c>
      <c r="D58" s="180">
        <f t="shared" si="28"/>
        <v>0</v>
      </c>
      <c r="E58" s="180">
        <f t="shared" si="28"/>
        <v>-1043.76</v>
      </c>
      <c r="F58" s="180">
        <f t="shared" si="28"/>
        <v>-1256.2599999999993</v>
      </c>
      <c r="G58" s="180">
        <f t="shared" si="28"/>
        <v>-1378.1299999999992</v>
      </c>
      <c r="H58" s="180">
        <f t="shared" si="28"/>
        <v>-2421.8799999999992</v>
      </c>
      <c r="I58" s="182">
        <f t="shared" si="28"/>
        <v>27000.379999999997</v>
      </c>
      <c r="J58" s="181">
        <f t="shared" si="28"/>
        <v>-3205.7600000000039</v>
      </c>
      <c r="K58" s="180">
        <f t="shared" si="28"/>
        <v>-3812.5600000000031</v>
      </c>
      <c r="L58" s="180">
        <f t="shared" si="28"/>
        <v>-3656.8800000000047</v>
      </c>
      <c r="M58" s="180">
        <f t="shared" si="28"/>
        <v>-3613.6900000000051</v>
      </c>
      <c r="N58" s="180">
        <f t="shared" si="28"/>
        <v>-4276.7400000000043</v>
      </c>
      <c r="O58" s="182">
        <f t="shared" si="28"/>
        <v>-5061.6600000000044</v>
      </c>
      <c r="P58" s="183">
        <f t="shared" si="28"/>
        <v>-5362.2000000000044</v>
      </c>
      <c r="Q58" s="184">
        <f t="shared" si="28"/>
        <v>-5297.1299999999974</v>
      </c>
      <c r="R58" s="185">
        <f t="shared" si="28"/>
        <v>-5363.2999999999956</v>
      </c>
      <c r="S58" s="184">
        <f t="shared" si="28"/>
        <v>-5682.5999999999949</v>
      </c>
      <c r="T58" s="185">
        <f t="shared" si="28"/>
        <v>-6001.9099999999962</v>
      </c>
      <c r="U58" s="232">
        <f t="shared" si="28"/>
        <v>-6830.5799999999963</v>
      </c>
      <c r="V58" s="185">
        <f t="shared" si="28"/>
        <v>-7440.519999999995</v>
      </c>
      <c r="W58" s="184">
        <f t="shared" si="28"/>
        <v>-6628.5899999999947</v>
      </c>
      <c r="X58" s="184">
        <f t="shared" si="28"/>
        <v>-6629.1499999999942</v>
      </c>
      <c r="Y58" s="186">
        <f t="shared" si="28"/>
        <v>-6629.7199999999948</v>
      </c>
      <c r="Z58" s="3"/>
      <c r="AA58" s="3"/>
      <c r="AB58" s="3"/>
      <c r="AC58" s="3"/>
    </row>
    <row r="59" spans="1:29" ht="15.75" customHeight="1" x14ac:dyDescent="0.25">
      <c r="A59" s="66" t="s">
        <v>40</v>
      </c>
      <c r="B59" s="179">
        <f t="shared" ref="B59:Y59" si="29">B55-B51</f>
        <v>0</v>
      </c>
      <c r="C59" s="180">
        <f t="shared" si="29"/>
        <v>0</v>
      </c>
      <c r="D59" s="180">
        <f t="shared" si="29"/>
        <v>-1043.76</v>
      </c>
      <c r="E59" s="180">
        <f t="shared" si="29"/>
        <v>-212.49999999999955</v>
      </c>
      <c r="F59" s="180">
        <f t="shared" si="29"/>
        <v>-121.86999999999989</v>
      </c>
      <c r="G59" s="180">
        <f t="shared" si="29"/>
        <v>-1043.75</v>
      </c>
      <c r="H59" s="180">
        <f t="shared" si="29"/>
        <v>29422.26</v>
      </c>
      <c r="I59" s="182">
        <f t="shared" si="29"/>
        <v>-30206.14</v>
      </c>
      <c r="J59" s="181">
        <f t="shared" si="29"/>
        <v>-606.79999999999995</v>
      </c>
      <c r="K59" s="180">
        <f t="shared" si="29"/>
        <v>155.68000000000029</v>
      </c>
      <c r="L59" s="180">
        <f t="shared" si="29"/>
        <v>43.190000000000055</v>
      </c>
      <c r="M59" s="180">
        <f t="shared" si="29"/>
        <v>-663.05</v>
      </c>
      <c r="N59" s="180">
        <f t="shared" si="29"/>
        <v>-784.92000000000007</v>
      </c>
      <c r="O59" s="182">
        <f t="shared" si="29"/>
        <v>-300.53999999999996</v>
      </c>
      <c r="P59" s="183">
        <f t="shared" si="29"/>
        <v>65.070000000003347</v>
      </c>
      <c r="Q59" s="187">
        <f t="shared" si="29"/>
        <v>-66.170000000000073</v>
      </c>
      <c r="R59" s="188">
        <f t="shared" si="29"/>
        <v>-319.30000000000007</v>
      </c>
      <c r="S59" s="187">
        <f t="shared" si="29"/>
        <v>-319.30999999999949</v>
      </c>
      <c r="T59" s="188">
        <f t="shared" si="29"/>
        <v>-828.67000000000007</v>
      </c>
      <c r="U59" s="233">
        <f t="shared" si="29"/>
        <v>-609.94000000000005</v>
      </c>
      <c r="V59" s="188">
        <f t="shared" si="29"/>
        <v>811.92999999999984</v>
      </c>
      <c r="W59" s="187">
        <f t="shared" si="29"/>
        <v>-0.5600000000001728</v>
      </c>
      <c r="X59" s="187">
        <f t="shared" si="29"/>
        <v>-0.56999999999999318</v>
      </c>
      <c r="Y59" s="189">
        <f t="shared" si="29"/>
        <v>-0.56999999999970896</v>
      </c>
      <c r="Z59" s="3"/>
      <c r="AA59" s="3"/>
      <c r="AB59" s="3"/>
      <c r="AC59" s="3"/>
    </row>
    <row r="60" spans="1:29" ht="15.75" customHeight="1" thickBot="1" x14ac:dyDescent="0.3">
      <c r="A60" s="145" t="s">
        <v>41</v>
      </c>
      <c r="B60" s="190">
        <f t="shared" ref="B60:Y60" si="30">B56-B52</f>
        <v>0</v>
      </c>
      <c r="C60" s="191">
        <f t="shared" si="30"/>
        <v>0</v>
      </c>
      <c r="D60" s="191">
        <f t="shared" si="30"/>
        <v>-1043.76</v>
      </c>
      <c r="E60" s="191">
        <f t="shared" si="30"/>
        <v>-1256.2599999999993</v>
      </c>
      <c r="F60" s="191">
        <f t="shared" si="30"/>
        <v>-1378.1299999999992</v>
      </c>
      <c r="G60" s="191">
        <f t="shared" si="30"/>
        <v>-2421.8799999999992</v>
      </c>
      <c r="H60" s="191">
        <f t="shared" si="30"/>
        <v>27000.379999999997</v>
      </c>
      <c r="I60" s="193">
        <f t="shared" si="30"/>
        <v>-3205.7600000000039</v>
      </c>
      <c r="J60" s="192">
        <f t="shared" si="30"/>
        <v>-3812.5600000000031</v>
      </c>
      <c r="K60" s="191">
        <f t="shared" si="30"/>
        <v>-3656.8800000000047</v>
      </c>
      <c r="L60" s="191">
        <f t="shared" si="30"/>
        <v>-3613.6900000000051</v>
      </c>
      <c r="M60" s="191">
        <f t="shared" si="30"/>
        <v>-4276.7400000000043</v>
      </c>
      <c r="N60" s="191">
        <f t="shared" si="30"/>
        <v>-5061.6600000000044</v>
      </c>
      <c r="O60" s="193">
        <f t="shared" si="30"/>
        <v>-5362.2000000000044</v>
      </c>
      <c r="P60" s="194">
        <f t="shared" si="30"/>
        <v>-5297.1299999999974</v>
      </c>
      <c r="Q60" s="195">
        <f t="shared" si="30"/>
        <v>-5363.2999999999956</v>
      </c>
      <c r="R60" s="196">
        <f t="shared" si="30"/>
        <v>-5682.5999999999949</v>
      </c>
      <c r="S60" s="195">
        <f t="shared" si="30"/>
        <v>-6001.9099999999962</v>
      </c>
      <c r="T60" s="196">
        <f t="shared" si="30"/>
        <v>-6830.5799999999963</v>
      </c>
      <c r="U60" s="234">
        <f t="shared" si="30"/>
        <v>-7440.519999999995</v>
      </c>
      <c r="V60" s="196">
        <f t="shared" si="30"/>
        <v>-6628.5899999999947</v>
      </c>
      <c r="W60" s="195">
        <f t="shared" si="30"/>
        <v>-6629.1499999999942</v>
      </c>
      <c r="X60" s="195">
        <f t="shared" si="30"/>
        <v>-6629.7199999999948</v>
      </c>
      <c r="Y60" s="197">
        <f t="shared" si="30"/>
        <v>-6630.2899999999945</v>
      </c>
      <c r="Z60" s="3"/>
      <c r="AA60" s="3"/>
      <c r="AB60" s="3"/>
      <c r="AC60" s="3"/>
    </row>
    <row r="61" spans="1:29" ht="15.75" customHeight="1" thickTop="1" thickBot="1" x14ac:dyDescent="0.3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thickTop="1" x14ac:dyDescent="0.25">
      <c r="B62" s="4" t="s">
        <v>44</v>
      </c>
      <c r="C62" s="274"/>
      <c r="D62" s="275"/>
      <c r="E62" s="275"/>
      <c r="F62" s="275"/>
      <c r="G62" s="27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thickBot="1" x14ac:dyDescent="0.3">
      <c r="B63" s="282" t="s">
        <v>45</v>
      </c>
      <c r="C63" s="279" t="s">
        <v>46</v>
      </c>
      <c r="D63" s="280"/>
      <c r="E63" s="280"/>
      <c r="F63" s="280"/>
      <c r="G63" s="28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thickTop="1" x14ac:dyDescent="0.25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4">
    <mergeCell ref="B53:O53"/>
    <mergeCell ref="C63:G63"/>
    <mergeCell ref="C62:G62"/>
    <mergeCell ref="B57:O57"/>
    <mergeCell ref="B6:Y6"/>
    <mergeCell ref="A1:A3"/>
    <mergeCell ref="B49:Y49"/>
    <mergeCell ref="B48:Y48"/>
    <mergeCell ref="B13:Y13"/>
    <mergeCell ref="L1:O1"/>
    <mergeCell ref="P1:Y1"/>
    <mergeCell ref="B1:K1"/>
    <mergeCell ref="V3:Y3"/>
    <mergeCell ref="B3:U3"/>
  </mergeCells>
  <phoneticPr fontId="0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2018-04-23T22:18:30Z</dcterms:created>
  <dcterms:modified xsi:type="dcterms:W3CDTF">2018-06-06T12:26:45Z</dcterms:modified>
</cp:coreProperties>
</file>