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90" windowHeight="8010"/>
  </bookViews>
  <sheets>
    <sheet name="Intro" sheetId="12" r:id="rId1"/>
    <sheet name="LearningToolSI" sheetId="13" r:id="rId2"/>
    <sheet name="PropLookupsSI" sheetId="8" r:id="rId3"/>
    <sheet name="TemperatureSI" sheetId="1" r:id="rId4"/>
    <sheet name="PressureSI" sheetId="2" r:id="rId5"/>
    <sheet name="SuperheatedSI" sheetId="5" r:id="rId6"/>
    <sheet name="SuperheatLookupSI" sheetId="11" r:id="rId7"/>
    <sheet name="PropLookupsEnglish" sheetId="9" r:id="rId8"/>
    <sheet name="TemperatureEnglish" sheetId="3" r:id="rId9"/>
    <sheet name="PressureEnglish" sheetId="4" r:id="rId10"/>
    <sheet name="SuperheatedEnglish" sheetId="6" r:id="rId11"/>
    <sheet name="SuperheatLookupEnglish" sheetId="10" r:id="rId12"/>
    <sheet name="GraphicsEnglish" sheetId="7" r:id="rId13"/>
  </sheets>
  <calcPr calcId="145621"/>
</workbook>
</file>

<file path=xl/calcChain.xml><?xml version="1.0" encoding="utf-8"?>
<calcChain xmlns="http://schemas.openxmlformats.org/spreadsheetml/2006/main">
  <c r="M18" i="9" l="1"/>
  <c r="AJ18" i="9" s="1"/>
  <c r="Q18" i="9" l="1"/>
  <c r="U18" i="9"/>
  <c r="Y18" i="9"/>
  <c r="AC18" i="9"/>
  <c r="AG18" i="9"/>
  <c r="AK18" i="9"/>
  <c r="N18" i="9"/>
  <c r="R18" i="9"/>
  <c r="V18" i="9"/>
  <c r="Z18" i="9"/>
  <c r="AD18" i="9"/>
  <c r="AH18" i="9"/>
  <c r="O18" i="9"/>
  <c r="S18" i="9"/>
  <c r="W18" i="9"/>
  <c r="AA18" i="9"/>
  <c r="AE18" i="9"/>
  <c r="AI18" i="9"/>
  <c r="P18" i="9"/>
  <c r="T18" i="9"/>
  <c r="X18" i="9"/>
  <c r="AB18" i="9"/>
  <c r="AF18" i="9"/>
  <c r="B15" i="8"/>
  <c r="K15" i="8"/>
  <c r="J15" i="8"/>
  <c r="I15" i="8"/>
  <c r="H15" i="8"/>
  <c r="F15" i="8"/>
  <c r="E15" i="8"/>
  <c r="D15" i="8"/>
  <c r="C15" i="8"/>
  <c r="A15" i="8"/>
  <c r="O15" i="8"/>
  <c r="N15" i="8"/>
  <c r="M15" i="8"/>
  <c r="AH15" i="8" s="1"/>
  <c r="I18" i="9" l="1"/>
  <c r="H18" i="9"/>
  <c r="D18" i="9"/>
  <c r="B18" i="9"/>
  <c r="F18" i="9"/>
  <c r="K18" i="9"/>
  <c r="E18" i="9"/>
  <c r="A18" i="9"/>
  <c r="C18" i="9"/>
  <c r="J18" i="9"/>
  <c r="T15" i="8"/>
  <c r="AB15" i="8"/>
  <c r="AJ15" i="8"/>
  <c r="W15" i="8"/>
  <c r="AE15" i="8"/>
  <c r="P15" i="8"/>
  <c r="X15" i="8"/>
  <c r="AF15" i="8"/>
  <c r="S15" i="8"/>
  <c r="AA15" i="8"/>
  <c r="AI15" i="8"/>
  <c r="Q15" i="8"/>
  <c r="U15" i="8"/>
  <c r="Y15" i="8"/>
  <c r="AC15" i="8"/>
  <c r="AG15" i="8"/>
  <c r="AK15" i="8"/>
  <c r="R15" i="8"/>
  <c r="V15" i="8"/>
  <c r="Z15" i="8"/>
  <c r="AD15" i="8"/>
  <c r="L117" i="11"/>
  <c r="D117" i="11"/>
  <c r="L66" i="11"/>
  <c r="D66" i="11"/>
  <c r="L15" i="11"/>
  <c r="D15" i="11"/>
  <c r="L117" i="10"/>
  <c r="D117" i="10"/>
  <c r="L66" i="10"/>
  <c r="D66" i="10"/>
  <c r="L15" i="10"/>
  <c r="D15" i="10"/>
  <c r="AW51" i="7" l="1"/>
  <c r="AV49" i="7"/>
  <c r="AV46" i="7"/>
  <c r="AT51" i="7"/>
  <c r="AS49" i="7"/>
  <c r="AS46" i="7"/>
  <c r="AQ51" i="7"/>
  <c r="AQ52" i="7" s="1"/>
  <c r="AQ53" i="7" s="1"/>
  <c r="AQ54" i="7" s="1"/>
  <c r="AQ55" i="7" s="1"/>
  <c r="AQ56" i="7" s="1"/>
  <c r="AQ57" i="7" s="1"/>
  <c r="AQ58" i="7" s="1"/>
  <c r="AQ59" i="7" s="1"/>
  <c r="AQ60" i="7" s="1"/>
  <c r="AQ61" i="7" s="1"/>
  <c r="AQ62" i="7" s="1"/>
  <c r="AQ63" i="7" s="1"/>
  <c r="AQ64" i="7" s="1"/>
  <c r="AQ65" i="7" s="1"/>
  <c r="AQ66" i="7" s="1"/>
  <c r="AQ67" i="7" s="1"/>
  <c r="AQ68" i="7" s="1"/>
  <c r="AQ69" i="7" s="1"/>
  <c r="AQ70" i="7" s="1"/>
  <c r="AQ71" i="7" s="1"/>
  <c r="AQ72" i="7" s="1"/>
  <c r="AQ73" i="7" s="1"/>
  <c r="AQ74" i="7" s="1"/>
  <c r="AQ75" i="7" s="1"/>
  <c r="AQ76" i="7" s="1"/>
  <c r="AQ77" i="7" s="1"/>
  <c r="AQ78" i="7" s="1"/>
  <c r="AQ79" i="7" s="1"/>
  <c r="AQ80" i="7" s="1"/>
  <c r="AQ81" i="7" s="1"/>
  <c r="AQ82" i="7" s="1"/>
  <c r="AQ83" i="7" s="1"/>
  <c r="AQ84" i="7" s="1"/>
  <c r="AQ85" i="7" s="1"/>
  <c r="AQ86" i="7" s="1"/>
  <c r="AQ87" i="7" s="1"/>
  <c r="AQ88" i="7" s="1"/>
  <c r="AQ89" i="7" s="1"/>
  <c r="AQ90" i="7" s="1"/>
  <c r="AQ91" i="7" s="1"/>
  <c r="AQ92" i="7" s="1"/>
  <c r="AQ93" i="7" s="1"/>
  <c r="AQ94" i="7" s="1"/>
  <c r="AQ95" i="7" s="1"/>
  <c r="AQ96" i="7" s="1"/>
  <c r="AQ97" i="7" s="1"/>
  <c r="AQ98" i="7" s="1"/>
  <c r="AQ99" i="7" s="1"/>
  <c r="AQ100" i="7" s="1"/>
  <c r="AQ101" i="7" s="1"/>
  <c r="AP49" i="7"/>
  <c r="AP46" i="7"/>
  <c r="AP47" i="7" s="1"/>
  <c r="AC108" i="7"/>
  <c r="AB108" i="7"/>
  <c r="AA108" i="7"/>
  <c r="AC95" i="7"/>
  <c r="AB95" i="7"/>
  <c r="AA95" i="7"/>
  <c r="AC82" i="7"/>
  <c r="AB82" i="7"/>
  <c r="AA82" i="7"/>
  <c r="AC69" i="7"/>
  <c r="AB69" i="7"/>
  <c r="AA69" i="7"/>
  <c r="AC57" i="7"/>
  <c r="AB57" i="7"/>
  <c r="AA57" i="7"/>
  <c r="AC44" i="7"/>
  <c r="AB44" i="7"/>
  <c r="AA44" i="7"/>
  <c r="AT52" i="7" l="1"/>
  <c r="AT53" i="7" s="1"/>
  <c r="AT54" i="7" s="1"/>
  <c r="AT55" i="7" s="1"/>
  <c r="AT56" i="7" s="1"/>
  <c r="AT57" i="7" s="1"/>
  <c r="AT58" i="7" s="1"/>
  <c r="AT59" i="7" s="1"/>
  <c r="AT60" i="7" s="1"/>
  <c r="AT61" i="7" s="1"/>
  <c r="AT62" i="7" s="1"/>
  <c r="AT63" i="7" s="1"/>
  <c r="AT64" i="7" s="1"/>
  <c r="AT65" i="7" s="1"/>
  <c r="AT66" i="7" s="1"/>
  <c r="AT67" i="7" s="1"/>
  <c r="AT68" i="7" s="1"/>
  <c r="AT69" i="7" s="1"/>
  <c r="AT70" i="7" s="1"/>
  <c r="AT71" i="7" s="1"/>
  <c r="AT72" i="7" s="1"/>
  <c r="AT73" i="7" s="1"/>
  <c r="AT74" i="7" s="1"/>
  <c r="AT75" i="7" s="1"/>
  <c r="AT76" i="7" s="1"/>
  <c r="AT77" i="7" s="1"/>
  <c r="AT78" i="7" s="1"/>
  <c r="AT79" i="7" s="1"/>
  <c r="AT80" i="7" s="1"/>
  <c r="AT81" i="7" s="1"/>
  <c r="AT82" i="7" s="1"/>
  <c r="AT83" i="7" s="1"/>
  <c r="AT84" i="7" s="1"/>
  <c r="AT85" i="7" s="1"/>
  <c r="AT86" i="7" s="1"/>
  <c r="AT87" i="7" s="1"/>
  <c r="AT88" i="7" s="1"/>
  <c r="AT89" i="7" s="1"/>
  <c r="AT90" i="7" s="1"/>
  <c r="AT91" i="7" s="1"/>
  <c r="AT92" i="7" s="1"/>
  <c r="AT93" i="7" s="1"/>
  <c r="AT94" i="7" s="1"/>
  <c r="AT95" i="7" s="1"/>
  <c r="AT96" i="7" s="1"/>
  <c r="AT97" i="7" s="1"/>
  <c r="AT98" i="7" s="1"/>
  <c r="AT99" i="7" s="1"/>
  <c r="AT100" i="7" s="1"/>
  <c r="AT101" i="7" s="1"/>
  <c r="AS101" i="7" s="1"/>
  <c r="AW52" i="7"/>
  <c r="AW53" i="7" s="1"/>
  <c r="AW54" i="7" s="1"/>
  <c r="AW55" i="7" s="1"/>
  <c r="AW56" i="7" s="1"/>
  <c r="AW57" i="7" s="1"/>
  <c r="AW58" i="7" s="1"/>
  <c r="AW59" i="7" s="1"/>
  <c r="AW60" i="7" s="1"/>
  <c r="AW61" i="7" s="1"/>
  <c r="AW62" i="7" s="1"/>
  <c r="AW63" i="7" s="1"/>
  <c r="AW64" i="7" s="1"/>
  <c r="AW65" i="7" s="1"/>
  <c r="AW66" i="7" s="1"/>
  <c r="AW67" i="7" s="1"/>
  <c r="AW68" i="7" s="1"/>
  <c r="AW69" i="7" s="1"/>
  <c r="AW70" i="7" s="1"/>
  <c r="AW71" i="7" s="1"/>
  <c r="AW72" i="7" s="1"/>
  <c r="AW73" i="7" s="1"/>
  <c r="AW74" i="7" s="1"/>
  <c r="AW75" i="7" s="1"/>
  <c r="AW76" i="7" s="1"/>
  <c r="AW77" i="7" s="1"/>
  <c r="AW78" i="7" s="1"/>
  <c r="AW79" i="7" s="1"/>
  <c r="AW80" i="7" s="1"/>
  <c r="AW81" i="7" s="1"/>
  <c r="AW82" i="7" s="1"/>
  <c r="AW83" i="7" s="1"/>
  <c r="AW84" i="7" s="1"/>
  <c r="AW85" i="7" s="1"/>
  <c r="AW86" i="7" s="1"/>
  <c r="AW87" i="7" s="1"/>
  <c r="AW88" i="7" s="1"/>
  <c r="AW89" i="7" s="1"/>
  <c r="AW90" i="7" s="1"/>
  <c r="AW91" i="7" s="1"/>
  <c r="AW92" i="7" s="1"/>
  <c r="AW93" i="7" s="1"/>
  <c r="AW94" i="7" s="1"/>
  <c r="AW95" i="7" s="1"/>
  <c r="AW96" i="7" s="1"/>
  <c r="AW97" i="7" s="1"/>
  <c r="AW98" i="7" s="1"/>
  <c r="AW99" i="7" s="1"/>
  <c r="AW100" i="7" s="1"/>
  <c r="AW101" i="7" s="1"/>
  <c r="AV101" i="7" s="1"/>
  <c r="AV47" i="7"/>
  <c r="AV52" i="7"/>
  <c r="AV51" i="7"/>
  <c r="AV55" i="7"/>
  <c r="AS47" i="7"/>
  <c r="AS52" i="7"/>
  <c r="AS54" i="7"/>
  <c r="AS56" i="7"/>
  <c r="AS60" i="7"/>
  <c r="AS62" i="7"/>
  <c r="AS64" i="7"/>
  <c r="AS68" i="7"/>
  <c r="AS70" i="7"/>
  <c r="AS76" i="7"/>
  <c r="AS78" i="7"/>
  <c r="AS84" i="7"/>
  <c r="AS86" i="7"/>
  <c r="AS94" i="7"/>
  <c r="AS51" i="7"/>
  <c r="AS53" i="7"/>
  <c r="AS55" i="7"/>
  <c r="AS57" i="7"/>
  <c r="AS59" i="7"/>
  <c r="AS61" i="7"/>
  <c r="AS63" i="7"/>
  <c r="AS65" i="7"/>
  <c r="AS67" i="7"/>
  <c r="AS69" i="7"/>
  <c r="AS71" i="7"/>
  <c r="AS73" i="7"/>
  <c r="AS75" i="7"/>
  <c r="AS77" i="7"/>
  <c r="AS81" i="7"/>
  <c r="AS83" i="7"/>
  <c r="AS89" i="7"/>
  <c r="AS91" i="7"/>
  <c r="AS97" i="7"/>
  <c r="AS99" i="7"/>
  <c r="AP53" i="7"/>
  <c r="AP100" i="7"/>
  <c r="AP96" i="7"/>
  <c r="AP92" i="7"/>
  <c r="AP88" i="7"/>
  <c r="AP84" i="7"/>
  <c r="AP80" i="7"/>
  <c r="AP76" i="7"/>
  <c r="AP72" i="7"/>
  <c r="AP68" i="7"/>
  <c r="AP64" i="7"/>
  <c r="AP60" i="7"/>
  <c r="AP56" i="7"/>
  <c r="AP52" i="7"/>
  <c r="AP99" i="7"/>
  <c r="AP95" i="7"/>
  <c r="AP91" i="7"/>
  <c r="AP87" i="7"/>
  <c r="AP83" i="7"/>
  <c r="AP79" i="7"/>
  <c r="AP75" i="7"/>
  <c r="AP71" i="7"/>
  <c r="AP67" i="7"/>
  <c r="AP63" i="7"/>
  <c r="AP59" i="7"/>
  <c r="AP55" i="7"/>
  <c r="AP51" i="7"/>
  <c r="AP98" i="7"/>
  <c r="AP94" i="7"/>
  <c r="AP90" i="7"/>
  <c r="AP86" i="7"/>
  <c r="AP82" i="7"/>
  <c r="AP78" i="7"/>
  <c r="AP74" i="7"/>
  <c r="AP70" i="7"/>
  <c r="AP66" i="7"/>
  <c r="AP62" i="7"/>
  <c r="AP58" i="7"/>
  <c r="AP54" i="7"/>
  <c r="AP101" i="7"/>
  <c r="AP97" i="7"/>
  <c r="AP93" i="7"/>
  <c r="AP89" i="7"/>
  <c r="AP85" i="7"/>
  <c r="AP81" i="7"/>
  <c r="AP77" i="7"/>
  <c r="AP73" i="7"/>
  <c r="AP69" i="7"/>
  <c r="AP65" i="7"/>
  <c r="AP61" i="7"/>
  <c r="AP57" i="7"/>
  <c r="D84" i="13"/>
  <c r="AV83" i="7" l="1"/>
  <c r="AV65" i="7"/>
  <c r="AV76" i="7"/>
  <c r="AV75" i="7"/>
  <c r="AV63" i="7"/>
  <c r="AV62" i="7"/>
  <c r="AV73" i="7"/>
  <c r="AV59" i="7"/>
  <c r="AV86" i="7"/>
  <c r="AV60" i="7"/>
  <c r="AV89" i="7"/>
  <c r="AV67" i="7"/>
  <c r="AV57" i="7"/>
  <c r="AV78" i="7"/>
  <c r="AV54" i="7"/>
  <c r="AS100" i="7"/>
  <c r="AS92" i="7"/>
  <c r="AS95" i="7"/>
  <c r="AS87" i="7"/>
  <c r="AS79" i="7"/>
  <c r="AS98" i="7"/>
  <c r="AS90" i="7"/>
  <c r="AS82" i="7"/>
  <c r="AS74" i="7"/>
  <c r="AS66" i="7"/>
  <c r="AS58" i="7"/>
  <c r="AS93" i="7"/>
  <c r="AS85" i="7"/>
  <c r="AS96" i="7"/>
  <c r="AS88" i="7"/>
  <c r="AS80" i="7"/>
  <c r="AS72" i="7"/>
  <c r="AV91" i="7"/>
  <c r="AV94" i="7"/>
  <c r="AV70" i="7"/>
  <c r="AV99" i="7"/>
  <c r="AV81" i="7"/>
  <c r="AV84" i="7"/>
  <c r="AV68" i="7"/>
  <c r="AV100" i="7"/>
  <c r="AV87" i="7"/>
  <c r="AV98" i="7"/>
  <c r="AV82" i="7"/>
  <c r="AV66" i="7"/>
  <c r="AV58" i="7"/>
  <c r="AV97" i="7"/>
  <c r="AV92" i="7"/>
  <c r="AV95" i="7"/>
  <c r="AV79" i="7"/>
  <c r="AV71" i="7"/>
  <c r="AV90" i="7"/>
  <c r="AV74" i="7"/>
  <c r="AV93" i="7"/>
  <c r="AV85" i="7"/>
  <c r="AV77" i="7"/>
  <c r="AV69" i="7"/>
  <c r="AV61" i="7"/>
  <c r="AV53" i="7"/>
  <c r="AV96" i="7"/>
  <c r="AV88" i="7"/>
  <c r="AV80" i="7"/>
  <c r="AV72" i="7"/>
  <c r="AV64" i="7"/>
  <c r="AV56" i="7"/>
  <c r="B84" i="13"/>
  <c r="B85" i="13"/>
  <c r="A85" i="13"/>
  <c r="C85" i="13" s="1"/>
  <c r="A84" i="13"/>
  <c r="C84" i="13" s="1"/>
  <c r="B64" i="13"/>
  <c r="B46" i="13"/>
  <c r="B45" i="13"/>
  <c r="A46" i="13"/>
  <c r="A45" i="13"/>
  <c r="B48" i="13" s="1"/>
  <c r="B42" i="13"/>
  <c r="M42" i="13" s="1"/>
  <c r="AH42" i="13" s="1"/>
  <c r="A37" i="13"/>
  <c r="M37" i="13" s="1"/>
  <c r="AK37" i="13" s="1"/>
  <c r="L18" i="11"/>
  <c r="M18" i="11"/>
  <c r="N18" i="11"/>
  <c r="O18" i="11"/>
  <c r="P18" i="11"/>
  <c r="L19" i="11"/>
  <c r="M19" i="11"/>
  <c r="N19" i="11"/>
  <c r="O19" i="11"/>
  <c r="P19" i="11"/>
  <c r="L20" i="11"/>
  <c r="M20" i="11"/>
  <c r="N20" i="11"/>
  <c r="O20" i="11"/>
  <c r="P20" i="11"/>
  <c r="L21" i="11"/>
  <c r="M21" i="11"/>
  <c r="N21" i="11"/>
  <c r="O21" i="11"/>
  <c r="P21" i="11"/>
  <c r="L22" i="11"/>
  <c r="M22" i="11"/>
  <c r="N22" i="11"/>
  <c r="O22" i="11"/>
  <c r="P22" i="11"/>
  <c r="L23" i="11"/>
  <c r="M23" i="11"/>
  <c r="N23" i="11"/>
  <c r="O23" i="11"/>
  <c r="P23" i="11"/>
  <c r="L24" i="11"/>
  <c r="M24" i="11"/>
  <c r="N24" i="11"/>
  <c r="O24" i="11"/>
  <c r="P24" i="11"/>
  <c r="L25" i="11"/>
  <c r="M25" i="11"/>
  <c r="N25" i="11"/>
  <c r="O25" i="11"/>
  <c r="P25" i="11"/>
  <c r="L26" i="11"/>
  <c r="M26" i="11"/>
  <c r="N26" i="11"/>
  <c r="O26" i="11"/>
  <c r="P26" i="11"/>
  <c r="L27" i="11"/>
  <c r="M27" i="11"/>
  <c r="N27" i="11"/>
  <c r="O27" i="11"/>
  <c r="P27" i="11"/>
  <c r="L28" i="11"/>
  <c r="M28" i="11"/>
  <c r="N28" i="11"/>
  <c r="O28" i="11"/>
  <c r="P28" i="11"/>
  <c r="L29" i="11"/>
  <c r="M29" i="11"/>
  <c r="N29" i="11"/>
  <c r="O29" i="11"/>
  <c r="P29" i="11"/>
  <c r="L30" i="11"/>
  <c r="M30" i="11"/>
  <c r="N30" i="11"/>
  <c r="O30" i="11"/>
  <c r="P30" i="11"/>
  <c r="L31" i="11"/>
  <c r="M31" i="11"/>
  <c r="N31" i="11"/>
  <c r="O31" i="11"/>
  <c r="P31" i="11"/>
  <c r="L32" i="11"/>
  <c r="M32" i="11"/>
  <c r="N32" i="11"/>
  <c r="O32" i="11"/>
  <c r="P32" i="11"/>
  <c r="L33" i="11"/>
  <c r="M33" i="11"/>
  <c r="N33" i="11"/>
  <c r="O33" i="11"/>
  <c r="P33" i="11"/>
  <c r="L34" i="11"/>
  <c r="M34" i="11"/>
  <c r="N34" i="11"/>
  <c r="O34" i="11"/>
  <c r="P34" i="11"/>
  <c r="L35" i="11"/>
  <c r="M35" i="11"/>
  <c r="N35" i="11"/>
  <c r="O35" i="11"/>
  <c r="P35" i="11"/>
  <c r="L36" i="11"/>
  <c r="M36" i="11"/>
  <c r="N36" i="11"/>
  <c r="O36" i="11"/>
  <c r="P36" i="11"/>
  <c r="P17" i="11"/>
  <c r="O17" i="11"/>
  <c r="N17" i="11"/>
  <c r="M17" i="11"/>
  <c r="L17" i="11"/>
  <c r="L18" i="10"/>
  <c r="M18" i="10"/>
  <c r="N18" i="10"/>
  <c r="O18" i="10"/>
  <c r="P18" i="10"/>
  <c r="L19" i="10"/>
  <c r="M19" i="10"/>
  <c r="N19" i="10"/>
  <c r="O19" i="10"/>
  <c r="P19" i="10"/>
  <c r="L20" i="10"/>
  <c r="M20" i="10"/>
  <c r="N20" i="10"/>
  <c r="O20" i="10"/>
  <c r="P20" i="10"/>
  <c r="L21" i="10"/>
  <c r="M21" i="10"/>
  <c r="N21" i="10"/>
  <c r="O21" i="10"/>
  <c r="P21" i="10"/>
  <c r="L22" i="10"/>
  <c r="M22" i="10"/>
  <c r="N22" i="10"/>
  <c r="O22" i="10"/>
  <c r="P22" i="10"/>
  <c r="L23" i="10"/>
  <c r="M23" i="10"/>
  <c r="N23" i="10"/>
  <c r="O23" i="10"/>
  <c r="P23" i="10"/>
  <c r="L24" i="10"/>
  <c r="M24" i="10"/>
  <c r="N24" i="10"/>
  <c r="O24" i="10"/>
  <c r="P24" i="10"/>
  <c r="L25" i="10"/>
  <c r="M25" i="10"/>
  <c r="N25" i="10"/>
  <c r="O25" i="10"/>
  <c r="P25" i="10"/>
  <c r="L26" i="10"/>
  <c r="M26" i="10"/>
  <c r="N26" i="10"/>
  <c r="O26" i="10"/>
  <c r="P26" i="10"/>
  <c r="L27" i="10"/>
  <c r="M27" i="10"/>
  <c r="N27" i="10"/>
  <c r="O27" i="10"/>
  <c r="P27" i="10"/>
  <c r="L28" i="10"/>
  <c r="M28" i="10"/>
  <c r="N28" i="10"/>
  <c r="O28" i="10"/>
  <c r="P28" i="10"/>
  <c r="L29" i="10"/>
  <c r="M29" i="10"/>
  <c r="N29" i="10"/>
  <c r="O29" i="10"/>
  <c r="P29" i="10"/>
  <c r="L30" i="10"/>
  <c r="M30" i="10"/>
  <c r="N30" i="10"/>
  <c r="O30" i="10"/>
  <c r="P30" i="10"/>
  <c r="L31" i="10"/>
  <c r="M31" i="10"/>
  <c r="N31" i="10"/>
  <c r="O31" i="10"/>
  <c r="P31" i="10"/>
  <c r="L32" i="10"/>
  <c r="M32" i="10"/>
  <c r="N32" i="10"/>
  <c r="O32" i="10"/>
  <c r="P32" i="10"/>
  <c r="L33" i="10"/>
  <c r="M33" i="10"/>
  <c r="N33" i="10"/>
  <c r="O33" i="10"/>
  <c r="P33" i="10"/>
  <c r="L34" i="10"/>
  <c r="M34" i="10"/>
  <c r="N34" i="10"/>
  <c r="O34" i="10"/>
  <c r="P34" i="10"/>
  <c r="L35" i="10"/>
  <c r="M35" i="10"/>
  <c r="N35" i="10"/>
  <c r="O35" i="10"/>
  <c r="P35" i="10"/>
  <c r="L36" i="10"/>
  <c r="M36" i="10"/>
  <c r="N36" i="10"/>
  <c r="O36" i="10"/>
  <c r="P36" i="10"/>
  <c r="P17" i="10"/>
  <c r="O17" i="10"/>
  <c r="N17" i="10"/>
  <c r="M17" i="10"/>
  <c r="L17" i="10"/>
  <c r="D85" i="13" l="1"/>
  <c r="C86" i="13"/>
  <c r="A15" i="13" s="1"/>
  <c r="B52" i="13"/>
  <c r="B58" i="13"/>
  <c r="S37" i="13"/>
  <c r="AD37" i="13"/>
  <c r="V37" i="13"/>
  <c r="AF37" i="13"/>
  <c r="N37" i="13"/>
  <c r="X37" i="13"/>
  <c r="AI37" i="13"/>
  <c r="P37" i="13"/>
  <c r="AA37" i="13"/>
  <c r="R37" i="13"/>
  <c r="W37" i="13"/>
  <c r="AB37" i="13"/>
  <c r="AH37" i="13"/>
  <c r="O42" i="13"/>
  <c r="W42" i="13"/>
  <c r="AE42" i="13"/>
  <c r="AF42" i="13"/>
  <c r="P42" i="13"/>
  <c r="X42" i="13"/>
  <c r="O37" i="13"/>
  <c r="T37" i="13"/>
  <c r="Z37" i="13"/>
  <c r="AE37" i="13"/>
  <c r="AJ37" i="13"/>
  <c r="S42" i="13"/>
  <c r="AA42" i="13"/>
  <c r="AI42" i="13"/>
  <c r="T42" i="13"/>
  <c r="AB42" i="13"/>
  <c r="AJ42" i="13"/>
  <c r="Q42" i="13"/>
  <c r="U42" i="13"/>
  <c r="Y42" i="13"/>
  <c r="AC42" i="13"/>
  <c r="AG42" i="13"/>
  <c r="AK42" i="13"/>
  <c r="Q37" i="13"/>
  <c r="U37" i="13"/>
  <c r="Y37" i="13"/>
  <c r="AC37" i="13"/>
  <c r="AG37" i="13"/>
  <c r="N42" i="13"/>
  <c r="R42" i="13"/>
  <c r="V42" i="13"/>
  <c r="Z42" i="13"/>
  <c r="AD42" i="13"/>
  <c r="A109" i="11"/>
  <c r="A110" i="11" s="1"/>
  <c r="A111" i="11" s="1"/>
  <c r="A58" i="11"/>
  <c r="A59" i="11" s="1"/>
  <c r="A60" i="11" s="1"/>
  <c r="A7" i="11"/>
  <c r="B17" i="11" s="1"/>
  <c r="C17" i="11" s="1"/>
  <c r="A152" i="11"/>
  <c r="A140" i="11"/>
  <c r="G143" i="11" s="1"/>
  <c r="B119" i="11"/>
  <c r="C119" i="11" s="1"/>
  <c r="A151" i="11"/>
  <c r="C107" i="11"/>
  <c r="A101" i="11"/>
  <c r="A89" i="11"/>
  <c r="B68" i="11"/>
  <c r="C68" i="11" s="1"/>
  <c r="A100" i="11"/>
  <c r="C56" i="11"/>
  <c r="A50" i="11"/>
  <c r="A38" i="11"/>
  <c r="C5" i="11"/>
  <c r="C66" i="13" l="1"/>
  <c r="C68" i="13" s="1"/>
  <c r="B66" i="13"/>
  <c r="K37" i="13"/>
  <c r="D37" i="13"/>
  <c r="E37" i="13"/>
  <c r="H42" i="13"/>
  <c r="C37" i="13"/>
  <c r="I37" i="13"/>
  <c r="F42" i="13"/>
  <c r="G37" i="13"/>
  <c r="D42" i="13"/>
  <c r="F37" i="13"/>
  <c r="I42" i="13"/>
  <c r="H37" i="13"/>
  <c r="H50" i="13" s="1"/>
  <c r="J10" i="13" s="1"/>
  <c r="B37" i="13"/>
  <c r="B50" i="13" s="1"/>
  <c r="D10" i="13" s="1"/>
  <c r="J37" i="13"/>
  <c r="A42" i="13"/>
  <c r="A50" i="13" s="1"/>
  <c r="C10" i="13" s="1"/>
  <c r="K42" i="13"/>
  <c r="G42" i="13"/>
  <c r="C42" i="13"/>
  <c r="J42" i="13"/>
  <c r="E42" i="13"/>
  <c r="F17" i="11"/>
  <c r="E17" i="11"/>
  <c r="H17" i="11"/>
  <c r="G17" i="11"/>
  <c r="D17" i="11"/>
  <c r="F68" i="11"/>
  <c r="E68" i="11"/>
  <c r="H68" i="11"/>
  <c r="D68" i="11"/>
  <c r="G119" i="11"/>
  <c r="F119" i="11"/>
  <c r="E119" i="11"/>
  <c r="H119" i="11"/>
  <c r="D119" i="11"/>
  <c r="A8" i="11"/>
  <c r="G68" i="11"/>
  <c r="B87" i="11"/>
  <c r="C87" i="11" s="1"/>
  <c r="B85" i="11"/>
  <c r="C85" i="11" s="1"/>
  <c r="B83" i="11"/>
  <c r="C83" i="11" s="1"/>
  <c r="B81" i="11"/>
  <c r="C81" i="11" s="1"/>
  <c r="B84" i="11"/>
  <c r="C84" i="11" s="1"/>
  <c r="B80" i="11"/>
  <c r="C80" i="11" s="1"/>
  <c r="B69" i="11"/>
  <c r="C69" i="11" s="1"/>
  <c r="B86" i="11"/>
  <c r="C86" i="11" s="1"/>
  <c r="B82" i="11"/>
  <c r="C82" i="11" s="1"/>
  <c r="A61" i="11"/>
  <c r="A62" i="11" s="1"/>
  <c r="A63" i="11" s="1"/>
  <c r="D41" i="11"/>
  <c r="L41" i="11"/>
  <c r="B137" i="11"/>
  <c r="C137" i="11" s="1"/>
  <c r="B135" i="11"/>
  <c r="C135" i="11" s="1"/>
  <c r="B133" i="11"/>
  <c r="C133" i="11" s="1"/>
  <c r="B131" i="11"/>
  <c r="C131" i="11" s="1"/>
  <c r="B138" i="11"/>
  <c r="C138" i="11" s="1"/>
  <c r="B136" i="11"/>
  <c r="C136" i="11" s="1"/>
  <c r="B134" i="11"/>
  <c r="C134" i="11" s="1"/>
  <c r="B132" i="11"/>
  <c r="C132" i="11" s="1"/>
  <c r="B120" i="11"/>
  <c r="C120" i="11" s="1"/>
  <c r="A112" i="11"/>
  <c r="A113" i="11" s="1"/>
  <c r="A114" i="11" s="1"/>
  <c r="P92" i="11"/>
  <c r="H92" i="11"/>
  <c r="O143" i="11"/>
  <c r="A109" i="10"/>
  <c r="A110" i="10" s="1"/>
  <c r="A111" i="10" s="1"/>
  <c r="L69" i="10"/>
  <c r="M69" i="10"/>
  <c r="N69" i="10"/>
  <c r="O69" i="10"/>
  <c r="P69" i="10"/>
  <c r="L70" i="10"/>
  <c r="M70" i="10"/>
  <c r="N70" i="10"/>
  <c r="O70" i="10"/>
  <c r="P70" i="10"/>
  <c r="L71" i="10"/>
  <c r="M71" i="10"/>
  <c r="N71" i="10"/>
  <c r="O71" i="10"/>
  <c r="P71" i="10"/>
  <c r="L72" i="10"/>
  <c r="M72" i="10"/>
  <c r="N72" i="10"/>
  <c r="O72" i="10"/>
  <c r="P72" i="10"/>
  <c r="L73" i="10"/>
  <c r="M73" i="10"/>
  <c r="N73" i="10"/>
  <c r="O73" i="10"/>
  <c r="P73" i="10"/>
  <c r="L74" i="10"/>
  <c r="M74" i="10"/>
  <c r="N74" i="10"/>
  <c r="O74" i="10"/>
  <c r="P74" i="10"/>
  <c r="L75" i="10"/>
  <c r="M75" i="10"/>
  <c r="N75" i="10"/>
  <c r="O75" i="10"/>
  <c r="P75" i="10"/>
  <c r="L76" i="10"/>
  <c r="M76" i="10"/>
  <c r="N76" i="10"/>
  <c r="O76" i="10"/>
  <c r="P76" i="10"/>
  <c r="L77" i="10"/>
  <c r="M77" i="10"/>
  <c r="N77" i="10"/>
  <c r="O77" i="10"/>
  <c r="P77" i="10"/>
  <c r="L78" i="10"/>
  <c r="M78" i="10"/>
  <c r="N78" i="10"/>
  <c r="O78" i="10"/>
  <c r="P78" i="10"/>
  <c r="L79" i="10"/>
  <c r="M79" i="10"/>
  <c r="N79" i="10"/>
  <c r="O79" i="10"/>
  <c r="P79" i="10"/>
  <c r="L80" i="10"/>
  <c r="M80" i="10"/>
  <c r="N80" i="10"/>
  <c r="O80" i="10"/>
  <c r="P80" i="10"/>
  <c r="L81" i="10"/>
  <c r="M81" i="10"/>
  <c r="N81" i="10"/>
  <c r="O81" i="10"/>
  <c r="P81" i="10"/>
  <c r="L82" i="10"/>
  <c r="M82" i="10"/>
  <c r="N82" i="10"/>
  <c r="O82" i="10"/>
  <c r="P82" i="10"/>
  <c r="L83" i="10"/>
  <c r="M83" i="10"/>
  <c r="N83" i="10"/>
  <c r="O83" i="10"/>
  <c r="P83" i="10"/>
  <c r="L84" i="10"/>
  <c r="M84" i="10"/>
  <c r="N84" i="10"/>
  <c r="O84" i="10"/>
  <c r="P84" i="10"/>
  <c r="L85" i="10"/>
  <c r="M85" i="10"/>
  <c r="N85" i="10"/>
  <c r="O85" i="10"/>
  <c r="P85" i="10"/>
  <c r="L86" i="10"/>
  <c r="M86" i="10"/>
  <c r="N86" i="10"/>
  <c r="O86" i="10"/>
  <c r="P86" i="10"/>
  <c r="L87" i="10"/>
  <c r="M87" i="10"/>
  <c r="N87" i="10"/>
  <c r="O87" i="10"/>
  <c r="P87" i="10"/>
  <c r="P68" i="10"/>
  <c r="O68" i="10"/>
  <c r="N68" i="10"/>
  <c r="M68" i="10"/>
  <c r="L68" i="10"/>
  <c r="A89" i="10"/>
  <c r="C67" i="13" l="1"/>
  <c r="B60" i="13"/>
  <c r="C60" i="13" s="1"/>
  <c r="B61" i="13"/>
  <c r="C61" i="13" s="1"/>
  <c r="B59" i="13"/>
  <c r="C59" i="13" s="1"/>
  <c r="K50" i="13"/>
  <c r="M10" i="13" s="1"/>
  <c r="B55" i="13"/>
  <c r="C55" i="13" s="1"/>
  <c r="B54" i="13"/>
  <c r="C54" i="13" s="1"/>
  <c r="B53" i="13"/>
  <c r="J50" i="13"/>
  <c r="L10" i="13" s="1"/>
  <c r="F50" i="13"/>
  <c r="H10" i="13" s="1"/>
  <c r="I50" i="13"/>
  <c r="K10" i="13" s="1"/>
  <c r="G50" i="13"/>
  <c r="I10" i="13" s="1"/>
  <c r="E50" i="13"/>
  <c r="G10" i="13" s="1"/>
  <c r="D50" i="13"/>
  <c r="F10" i="13" s="1"/>
  <c r="C50" i="13"/>
  <c r="E10" i="13" s="1"/>
  <c r="E132" i="11"/>
  <c r="H132" i="11"/>
  <c r="D132" i="11"/>
  <c r="G132" i="11"/>
  <c r="F132" i="11"/>
  <c r="E136" i="11"/>
  <c r="H136" i="11"/>
  <c r="D136" i="11"/>
  <c r="G136" i="11"/>
  <c r="F136" i="11"/>
  <c r="G135" i="11"/>
  <c r="F135" i="11"/>
  <c r="E135" i="11"/>
  <c r="H135" i="11"/>
  <c r="D135" i="11"/>
  <c r="G86" i="11"/>
  <c r="E86" i="11"/>
  <c r="D86" i="11"/>
  <c r="H86" i="11"/>
  <c r="F86" i="11"/>
  <c r="E120" i="11"/>
  <c r="H120" i="11"/>
  <c r="D120" i="11"/>
  <c r="G120" i="11"/>
  <c r="F120" i="11"/>
  <c r="E138" i="11"/>
  <c r="H138" i="11"/>
  <c r="D138" i="11"/>
  <c r="G138" i="11"/>
  <c r="F138" i="11"/>
  <c r="G137" i="11"/>
  <c r="F137" i="11"/>
  <c r="E137" i="11"/>
  <c r="H137" i="11"/>
  <c r="D137" i="11"/>
  <c r="H69" i="11"/>
  <c r="D69" i="11"/>
  <c r="G69" i="11"/>
  <c r="F69" i="11"/>
  <c r="E69" i="11"/>
  <c r="E83" i="11"/>
  <c r="G83" i="11"/>
  <c r="H83" i="11"/>
  <c r="F83" i="11"/>
  <c r="D83" i="11"/>
  <c r="A9" i="11"/>
  <c r="A49" i="11"/>
  <c r="G131" i="11"/>
  <c r="F131" i="11"/>
  <c r="E131" i="11"/>
  <c r="H131" i="11"/>
  <c r="D131" i="11"/>
  <c r="E85" i="11"/>
  <c r="G85" i="11"/>
  <c r="F85" i="11"/>
  <c r="D85" i="11"/>
  <c r="H85" i="11"/>
  <c r="G80" i="11"/>
  <c r="E80" i="11"/>
  <c r="H80" i="11"/>
  <c r="F80" i="11"/>
  <c r="D80" i="11"/>
  <c r="E134" i="11"/>
  <c r="H134" i="11"/>
  <c r="D134" i="11"/>
  <c r="G134" i="11"/>
  <c r="F134" i="11"/>
  <c r="G133" i="11"/>
  <c r="F133" i="11"/>
  <c r="E133" i="11"/>
  <c r="H133" i="11"/>
  <c r="D133" i="11"/>
  <c r="G82" i="11"/>
  <c r="E82" i="11"/>
  <c r="D82" i="11"/>
  <c r="H82" i="11"/>
  <c r="F82" i="11"/>
  <c r="G84" i="11"/>
  <c r="E84" i="11"/>
  <c r="H84" i="11"/>
  <c r="F84" i="11"/>
  <c r="D84" i="11"/>
  <c r="E87" i="11"/>
  <c r="G87" i="11"/>
  <c r="H87" i="11"/>
  <c r="F87" i="11"/>
  <c r="D87" i="11"/>
  <c r="E81" i="11"/>
  <c r="G81" i="11"/>
  <c r="F81" i="11"/>
  <c r="D81" i="11"/>
  <c r="H81" i="11"/>
  <c r="J119" i="11"/>
  <c r="K119" i="11" s="1"/>
  <c r="J68" i="11"/>
  <c r="K68" i="11" s="1"/>
  <c r="B121" i="11"/>
  <c r="B70" i="11"/>
  <c r="D69" i="10"/>
  <c r="E69" i="10"/>
  <c r="F69" i="10"/>
  <c r="G69" i="10"/>
  <c r="H69" i="10"/>
  <c r="D70" i="10"/>
  <c r="E70" i="10"/>
  <c r="F70" i="10"/>
  <c r="G70" i="10"/>
  <c r="H70" i="10"/>
  <c r="D71" i="10"/>
  <c r="E71" i="10"/>
  <c r="F71" i="10"/>
  <c r="G71" i="10"/>
  <c r="H71" i="10"/>
  <c r="D72" i="10"/>
  <c r="E72" i="10"/>
  <c r="F72" i="10"/>
  <c r="G72" i="10"/>
  <c r="H72" i="10"/>
  <c r="D73" i="10"/>
  <c r="E73" i="10"/>
  <c r="F73" i="10"/>
  <c r="G73" i="10"/>
  <c r="H73" i="10"/>
  <c r="D74" i="10"/>
  <c r="E74" i="10"/>
  <c r="F74" i="10"/>
  <c r="G74" i="10"/>
  <c r="H74" i="10"/>
  <c r="D75" i="10"/>
  <c r="E75" i="10"/>
  <c r="F75" i="10"/>
  <c r="G75" i="10"/>
  <c r="H75" i="10"/>
  <c r="D76" i="10"/>
  <c r="E76" i="10"/>
  <c r="F76" i="10"/>
  <c r="G76" i="10"/>
  <c r="H76" i="10"/>
  <c r="D77" i="10"/>
  <c r="E77" i="10"/>
  <c r="F77" i="10"/>
  <c r="G77" i="10"/>
  <c r="H77" i="10"/>
  <c r="D78" i="10"/>
  <c r="E78" i="10"/>
  <c r="F78" i="10"/>
  <c r="G78" i="10"/>
  <c r="H78" i="10"/>
  <c r="D79" i="10"/>
  <c r="E79" i="10"/>
  <c r="F79" i="10"/>
  <c r="G79" i="10"/>
  <c r="H79" i="10"/>
  <c r="D80" i="10"/>
  <c r="E80" i="10"/>
  <c r="F80" i="10"/>
  <c r="G80" i="10"/>
  <c r="H80" i="10"/>
  <c r="D81" i="10"/>
  <c r="E81" i="10"/>
  <c r="F81" i="10"/>
  <c r="G81" i="10"/>
  <c r="H81" i="10"/>
  <c r="D82" i="10"/>
  <c r="E82" i="10"/>
  <c r="F82" i="10"/>
  <c r="G82" i="10"/>
  <c r="H82" i="10"/>
  <c r="D83" i="10"/>
  <c r="E83" i="10"/>
  <c r="F83" i="10"/>
  <c r="G83" i="10"/>
  <c r="H83" i="10"/>
  <c r="D84" i="10"/>
  <c r="E84" i="10"/>
  <c r="F84" i="10"/>
  <c r="G84" i="10"/>
  <c r="H84" i="10"/>
  <c r="D85" i="10"/>
  <c r="E85" i="10"/>
  <c r="F85" i="10"/>
  <c r="G85" i="10"/>
  <c r="H85" i="10"/>
  <c r="D86" i="10"/>
  <c r="E86" i="10"/>
  <c r="F86" i="10"/>
  <c r="G86" i="10"/>
  <c r="H86" i="10"/>
  <c r="D87" i="10"/>
  <c r="E87" i="10"/>
  <c r="F87" i="10"/>
  <c r="G87" i="10"/>
  <c r="H87" i="10"/>
  <c r="H68" i="10"/>
  <c r="G68" i="10"/>
  <c r="F68" i="10"/>
  <c r="E68" i="10"/>
  <c r="D68" i="10"/>
  <c r="A63" i="10"/>
  <c r="A62" i="10"/>
  <c r="A60" i="10"/>
  <c r="A59" i="10"/>
  <c r="A58" i="10"/>
  <c r="B67" i="13" l="1"/>
  <c r="B68" i="13"/>
  <c r="C62" i="13"/>
  <c r="B56" i="13"/>
  <c r="C53" i="13"/>
  <c r="C56" i="13" s="1"/>
  <c r="M68" i="11"/>
  <c r="P68" i="11"/>
  <c r="L68" i="11"/>
  <c r="O68" i="11"/>
  <c r="N68" i="11"/>
  <c r="B29" i="11"/>
  <c r="C29" i="11" s="1"/>
  <c r="A10" i="11"/>
  <c r="B35" i="11"/>
  <c r="C35" i="11" s="1"/>
  <c r="B36" i="11"/>
  <c r="C36" i="11" s="1"/>
  <c r="B32" i="11"/>
  <c r="C32" i="11" s="1"/>
  <c r="B18" i="11"/>
  <c r="C18" i="11" s="1"/>
  <c r="B31" i="11"/>
  <c r="C31" i="11" s="1"/>
  <c r="B30" i="11"/>
  <c r="C30" i="11" s="1"/>
  <c r="B34" i="11"/>
  <c r="C34" i="11" s="1"/>
  <c r="B33" i="11"/>
  <c r="C33" i="11" s="1"/>
  <c r="N119" i="11"/>
  <c r="M119" i="11"/>
  <c r="P119" i="11"/>
  <c r="L119" i="11"/>
  <c r="O119" i="11"/>
  <c r="B19" i="11"/>
  <c r="A153" i="11"/>
  <c r="A154" i="11" s="1"/>
  <c r="A115" i="11"/>
  <c r="C121" i="11"/>
  <c r="B122" i="11"/>
  <c r="C19" i="11"/>
  <c r="B20" i="11"/>
  <c r="C70" i="11"/>
  <c r="B71" i="11"/>
  <c r="A102" i="11"/>
  <c r="A103" i="11" s="1"/>
  <c r="A64" i="11"/>
  <c r="D18" i="10"/>
  <c r="E18" i="10"/>
  <c r="F18" i="10"/>
  <c r="G18" i="10"/>
  <c r="H18" i="10"/>
  <c r="D19" i="10"/>
  <c r="E19" i="10"/>
  <c r="F19" i="10"/>
  <c r="G19" i="10"/>
  <c r="H19" i="10"/>
  <c r="D20" i="10"/>
  <c r="E20" i="10"/>
  <c r="F20" i="10"/>
  <c r="G20" i="10"/>
  <c r="H20" i="10"/>
  <c r="D21" i="10"/>
  <c r="E21" i="10"/>
  <c r="F21" i="10"/>
  <c r="G21" i="10"/>
  <c r="H21" i="10"/>
  <c r="D22" i="10"/>
  <c r="E22" i="10"/>
  <c r="F22" i="10"/>
  <c r="G22" i="10"/>
  <c r="H22" i="10"/>
  <c r="D23" i="10"/>
  <c r="E23" i="10"/>
  <c r="F23" i="10"/>
  <c r="G23" i="10"/>
  <c r="H23" i="10"/>
  <c r="D24" i="10"/>
  <c r="E24" i="10"/>
  <c r="F24" i="10"/>
  <c r="G24" i="10"/>
  <c r="H24" i="10"/>
  <c r="D25" i="10"/>
  <c r="E25" i="10"/>
  <c r="F25" i="10"/>
  <c r="G25" i="10"/>
  <c r="H25" i="10"/>
  <c r="D26" i="10"/>
  <c r="E26" i="10"/>
  <c r="F26" i="10"/>
  <c r="G26" i="10"/>
  <c r="H26" i="10"/>
  <c r="D27" i="10"/>
  <c r="E27" i="10"/>
  <c r="F27" i="10"/>
  <c r="G27" i="10"/>
  <c r="H27" i="10"/>
  <c r="D28" i="10"/>
  <c r="E28" i="10"/>
  <c r="F28" i="10"/>
  <c r="G28" i="10"/>
  <c r="H28" i="10"/>
  <c r="D29" i="10"/>
  <c r="E29" i="10"/>
  <c r="F29" i="10"/>
  <c r="G29" i="10"/>
  <c r="H29" i="10"/>
  <c r="D30" i="10"/>
  <c r="E30" i="10"/>
  <c r="F30" i="10"/>
  <c r="G30" i="10"/>
  <c r="H30" i="10"/>
  <c r="D31" i="10"/>
  <c r="E31" i="10"/>
  <c r="F31" i="10"/>
  <c r="G31" i="10"/>
  <c r="H31" i="10"/>
  <c r="D32" i="10"/>
  <c r="E32" i="10"/>
  <c r="F32" i="10"/>
  <c r="G32" i="10"/>
  <c r="H32" i="10"/>
  <c r="D33" i="10"/>
  <c r="E33" i="10"/>
  <c r="F33" i="10"/>
  <c r="G33" i="10"/>
  <c r="H33" i="10"/>
  <c r="D34" i="10"/>
  <c r="E34" i="10"/>
  <c r="F34" i="10"/>
  <c r="G34" i="10"/>
  <c r="H34" i="10"/>
  <c r="D35" i="10"/>
  <c r="E35" i="10"/>
  <c r="F35" i="10"/>
  <c r="G35" i="10"/>
  <c r="H35" i="10"/>
  <c r="D36" i="10"/>
  <c r="E36" i="10"/>
  <c r="F36" i="10"/>
  <c r="G36" i="10"/>
  <c r="H36" i="10"/>
  <c r="H17" i="10"/>
  <c r="G17" i="10"/>
  <c r="F17" i="10"/>
  <c r="E17" i="10"/>
  <c r="D17" i="10"/>
  <c r="A12" i="10"/>
  <c r="A11" i="10"/>
  <c r="A9" i="10"/>
  <c r="A8" i="10"/>
  <c r="A7" i="10"/>
  <c r="A152" i="10"/>
  <c r="A140" i="10"/>
  <c r="G143" i="10" s="1"/>
  <c r="C107" i="10"/>
  <c r="A101" i="10"/>
  <c r="P92" i="10"/>
  <c r="H92" i="10"/>
  <c r="C56" i="10"/>
  <c r="A50" i="10"/>
  <c r="A38" i="10"/>
  <c r="D41" i="10" s="1"/>
  <c r="B17" i="10"/>
  <c r="C17" i="10" s="1"/>
  <c r="C5" i="10"/>
  <c r="B73" i="13" l="1"/>
  <c r="H67" i="13" s="1"/>
  <c r="B62" i="13"/>
  <c r="B72" i="13"/>
  <c r="C72" i="13" s="1"/>
  <c r="B71" i="13"/>
  <c r="C71" i="13" s="1"/>
  <c r="B70" i="13"/>
  <c r="C70" i="13" s="1"/>
  <c r="B69" i="13"/>
  <c r="F19" i="11"/>
  <c r="E19" i="11"/>
  <c r="D19" i="11"/>
  <c r="H19" i="11"/>
  <c r="G19" i="11"/>
  <c r="F35" i="11"/>
  <c r="E35" i="11"/>
  <c r="H35" i="11"/>
  <c r="D35" i="11"/>
  <c r="G35" i="11"/>
  <c r="F33" i="11"/>
  <c r="E33" i="11"/>
  <c r="D33" i="11"/>
  <c r="H33" i="11"/>
  <c r="G33" i="11"/>
  <c r="H18" i="11"/>
  <c r="D18" i="11"/>
  <c r="G18" i="11"/>
  <c r="E18" i="11"/>
  <c r="F18" i="11"/>
  <c r="A11" i="11"/>
  <c r="J17" i="11"/>
  <c r="F70" i="11"/>
  <c r="E70" i="11"/>
  <c r="H70" i="11"/>
  <c r="D70" i="11"/>
  <c r="G70" i="11"/>
  <c r="G121" i="11"/>
  <c r="F121" i="11"/>
  <c r="E121" i="11"/>
  <c r="H121" i="11"/>
  <c r="D121" i="11"/>
  <c r="H34" i="11"/>
  <c r="D34" i="11"/>
  <c r="G34" i="11"/>
  <c r="E34" i="11"/>
  <c r="F34" i="11"/>
  <c r="H32" i="11"/>
  <c r="D32" i="11"/>
  <c r="G32" i="11"/>
  <c r="F32" i="11"/>
  <c r="E32" i="11"/>
  <c r="F29" i="11"/>
  <c r="E29" i="11"/>
  <c r="D29" i="11"/>
  <c r="H29" i="11"/>
  <c r="G29" i="11"/>
  <c r="F31" i="11"/>
  <c r="E31" i="11"/>
  <c r="H31" i="11"/>
  <c r="D31" i="11"/>
  <c r="G31" i="11"/>
  <c r="H30" i="11"/>
  <c r="D30" i="11"/>
  <c r="G30" i="11"/>
  <c r="F30" i="11"/>
  <c r="E30" i="11"/>
  <c r="H36" i="11"/>
  <c r="D36" i="11"/>
  <c r="G36" i="11"/>
  <c r="F36" i="11"/>
  <c r="E36" i="11"/>
  <c r="J138" i="11"/>
  <c r="K138" i="11" s="1"/>
  <c r="J136" i="11"/>
  <c r="K136" i="11" s="1"/>
  <c r="J134" i="11"/>
  <c r="K134" i="11" s="1"/>
  <c r="J132" i="11"/>
  <c r="K132" i="11" s="1"/>
  <c r="J120" i="11"/>
  <c r="K120" i="11" s="1"/>
  <c r="J137" i="11"/>
  <c r="K137" i="11" s="1"/>
  <c r="J135" i="11"/>
  <c r="K135" i="11" s="1"/>
  <c r="J133" i="11"/>
  <c r="K133" i="11" s="1"/>
  <c r="J131" i="11"/>
  <c r="K131" i="11" s="1"/>
  <c r="J121" i="11"/>
  <c r="K121" i="11" s="1"/>
  <c r="C20" i="11"/>
  <c r="B21" i="11"/>
  <c r="J87" i="11"/>
  <c r="K87" i="11" s="1"/>
  <c r="J85" i="11"/>
  <c r="K85" i="11" s="1"/>
  <c r="J83" i="11"/>
  <c r="K83" i="11" s="1"/>
  <c r="J81" i="11"/>
  <c r="K81" i="11" s="1"/>
  <c r="J84" i="11"/>
  <c r="K84" i="11" s="1"/>
  <c r="J80" i="11"/>
  <c r="K80" i="11" s="1"/>
  <c r="J86" i="11"/>
  <c r="K86" i="11" s="1"/>
  <c r="J82" i="11"/>
  <c r="K82" i="11" s="1"/>
  <c r="J69" i="11"/>
  <c r="K69" i="11" s="1"/>
  <c r="C71" i="11"/>
  <c r="B72" i="11"/>
  <c r="C122" i="11"/>
  <c r="B123" i="11"/>
  <c r="L41" i="10"/>
  <c r="A49" i="10"/>
  <c r="B68" i="10"/>
  <c r="C68" i="10" s="1"/>
  <c r="B138" i="10"/>
  <c r="C138" i="10" s="1"/>
  <c r="B136" i="10"/>
  <c r="C136" i="10" s="1"/>
  <c r="B134" i="10"/>
  <c r="C134" i="10" s="1"/>
  <c r="B132" i="10"/>
  <c r="C132" i="10" s="1"/>
  <c r="B137" i="10"/>
  <c r="C137" i="10" s="1"/>
  <c r="B135" i="10"/>
  <c r="C135" i="10" s="1"/>
  <c r="B133" i="10"/>
  <c r="C133" i="10" s="1"/>
  <c r="O143" i="10"/>
  <c r="A151" i="10"/>
  <c r="B119" i="10"/>
  <c r="C119" i="10" s="1"/>
  <c r="A112" i="10"/>
  <c r="A113" i="10" s="1"/>
  <c r="A114" i="10" s="1"/>
  <c r="I66" i="13" l="1"/>
  <c r="H68" i="13" s="1"/>
  <c r="C73" i="13"/>
  <c r="B80" i="13"/>
  <c r="B74" i="13"/>
  <c r="C69" i="13"/>
  <c r="P132" i="11"/>
  <c r="L132" i="11"/>
  <c r="O132" i="11"/>
  <c r="N132" i="11"/>
  <c r="M132" i="11"/>
  <c r="P87" i="11"/>
  <c r="L87" i="11"/>
  <c r="O87" i="11"/>
  <c r="N87" i="11"/>
  <c r="M87" i="11"/>
  <c r="N121" i="11"/>
  <c r="M121" i="11"/>
  <c r="P121" i="11"/>
  <c r="L121" i="11"/>
  <c r="O121" i="11"/>
  <c r="N84" i="11"/>
  <c r="P84" i="11"/>
  <c r="L84" i="11"/>
  <c r="O84" i="11"/>
  <c r="M84" i="11"/>
  <c r="P81" i="11"/>
  <c r="L81" i="11"/>
  <c r="N81" i="11"/>
  <c r="O81" i="11"/>
  <c r="M81" i="11"/>
  <c r="N137" i="11"/>
  <c r="M137" i="11"/>
  <c r="P137" i="11"/>
  <c r="L137" i="11"/>
  <c r="O137" i="11"/>
  <c r="N86" i="11"/>
  <c r="P86" i="11"/>
  <c r="L86" i="11"/>
  <c r="O86" i="11"/>
  <c r="M86" i="11"/>
  <c r="P83" i="11"/>
  <c r="L83" i="11"/>
  <c r="N83" i="11"/>
  <c r="M83" i="11"/>
  <c r="O83" i="11"/>
  <c r="N131" i="11"/>
  <c r="M131" i="11"/>
  <c r="P131" i="11"/>
  <c r="L131" i="11"/>
  <c r="O131" i="11"/>
  <c r="P120" i="11"/>
  <c r="L120" i="11"/>
  <c r="O120" i="11"/>
  <c r="N120" i="11"/>
  <c r="M120" i="11"/>
  <c r="P136" i="11"/>
  <c r="L136" i="11"/>
  <c r="O136" i="11"/>
  <c r="N136" i="11"/>
  <c r="M136" i="11"/>
  <c r="K17" i="11"/>
  <c r="O69" i="11"/>
  <c r="N69" i="11"/>
  <c r="M69" i="11"/>
  <c r="L69" i="11"/>
  <c r="P69" i="11"/>
  <c r="N135" i="11"/>
  <c r="M135" i="11"/>
  <c r="P135" i="11"/>
  <c r="L135" i="11"/>
  <c r="O135" i="11"/>
  <c r="E122" i="11"/>
  <c r="H122" i="11"/>
  <c r="D122" i="11"/>
  <c r="G122" i="11"/>
  <c r="F122" i="11"/>
  <c r="N82" i="11"/>
  <c r="P82" i="11"/>
  <c r="L82" i="11"/>
  <c r="O82" i="11"/>
  <c r="M82" i="11"/>
  <c r="P134" i="11"/>
  <c r="L134" i="11"/>
  <c r="O134" i="11"/>
  <c r="N134" i="11"/>
  <c r="M134" i="11"/>
  <c r="H71" i="11"/>
  <c r="D71" i="11"/>
  <c r="G71" i="11"/>
  <c r="F71" i="11"/>
  <c r="E71" i="11"/>
  <c r="N80" i="11"/>
  <c r="P80" i="11"/>
  <c r="L80" i="11"/>
  <c r="O80" i="11"/>
  <c r="M80" i="11"/>
  <c r="P85" i="11"/>
  <c r="L85" i="11"/>
  <c r="N85" i="11"/>
  <c r="O85" i="11"/>
  <c r="M85" i="11"/>
  <c r="H20" i="11"/>
  <c r="D20" i="11"/>
  <c r="G20" i="11"/>
  <c r="F20" i="11"/>
  <c r="E20" i="11"/>
  <c r="N133" i="11"/>
  <c r="M133" i="11"/>
  <c r="P133" i="11"/>
  <c r="L133" i="11"/>
  <c r="O133" i="11"/>
  <c r="J122" i="11"/>
  <c r="P138" i="11"/>
  <c r="L138" i="11"/>
  <c r="O138" i="11"/>
  <c r="N138" i="11"/>
  <c r="M138" i="11"/>
  <c r="A12" i="11"/>
  <c r="A51" i="11"/>
  <c r="A52" i="11" s="1"/>
  <c r="A13" i="11"/>
  <c r="C123" i="11"/>
  <c r="B124" i="11"/>
  <c r="C72" i="11"/>
  <c r="B73" i="11"/>
  <c r="C21" i="11"/>
  <c r="B22" i="11"/>
  <c r="J70" i="11"/>
  <c r="G137" i="10"/>
  <c r="D137" i="10"/>
  <c r="H137" i="10"/>
  <c r="E137" i="10"/>
  <c r="F137" i="10"/>
  <c r="G138" i="10"/>
  <c r="D138" i="10"/>
  <c r="H138" i="10"/>
  <c r="E138" i="10"/>
  <c r="F138" i="10"/>
  <c r="D132" i="10"/>
  <c r="H132" i="10"/>
  <c r="E132" i="10"/>
  <c r="F132" i="10"/>
  <c r="G132" i="10"/>
  <c r="D133" i="10"/>
  <c r="H133" i="10"/>
  <c r="E133" i="10"/>
  <c r="F133" i="10"/>
  <c r="G133" i="10"/>
  <c r="F134" i="10"/>
  <c r="G134" i="10"/>
  <c r="D134" i="10"/>
  <c r="H134" i="10"/>
  <c r="E134" i="10"/>
  <c r="G119" i="10"/>
  <c r="F119" i="10"/>
  <c r="E119" i="10"/>
  <c r="H119" i="10"/>
  <c r="D119" i="10"/>
  <c r="F135" i="10"/>
  <c r="G135" i="10"/>
  <c r="D135" i="10"/>
  <c r="H135" i="10"/>
  <c r="E135" i="10"/>
  <c r="D136" i="10"/>
  <c r="E136" i="10"/>
  <c r="F136" i="10"/>
  <c r="G136" i="10"/>
  <c r="H136" i="10"/>
  <c r="B36" i="10"/>
  <c r="C36" i="10" s="1"/>
  <c r="A10" i="10"/>
  <c r="B33" i="10"/>
  <c r="C33" i="10" s="1"/>
  <c r="B35" i="10"/>
  <c r="C35" i="10" s="1"/>
  <c r="B18" i="10"/>
  <c r="C18" i="10" s="1"/>
  <c r="B34" i="10"/>
  <c r="C34" i="10" s="1"/>
  <c r="B31" i="10"/>
  <c r="C31" i="10" s="1"/>
  <c r="B32" i="10"/>
  <c r="C32" i="10" s="1"/>
  <c r="A100" i="10"/>
  <c r="J119" i="10"/>
  <c r="K119" i="10" s="1"/>
  <c r="B120" i="10"/>
  <c r="A13" i="13" l="1"/>
  <c r="C74" i="13"/>
  <c r="C77" i="13" s="1"/>
  <c r="A12" i="13" s="1"/>
  <c r="C80" i="13"/>
  <c r="A14" i="13" s="1"/>
  <c r="F72" i="11"/>
  <c r="E72" i="11"/>
  <c r="H72" i="11"/>
  <c r="D72" i="11"/>
  <c r="G72" i="11"/>
  <c r="J32" i="11"/>
  <c r="K32" i="11" s="1"/>
  <c r="J18" i="11"/>
  <c r="J36" i="11"/>
  <c r="K36" i="11" s="1"/>
  <c r="J29" i="11"/>
  <c r="K29" i="11" s="1"/>
  <c r="J33" i="11"/>
  <c r="K33" i="11" s="1"/>
  <c r="J35" i="11"/>
  <c r="K35" i="11" s="1"/>
  <c r="J31" i="11"/>
  <c r="K31" i="11" s="1"/>
  <c r="J34" i="11"/>
  <c r="K34" i="11" s="1"/>
  <c r="J30" i="11"/>
  <c r="K30" i="11" s="1"/>
  <c r="F21" i="11"/>
  <c r="E21" i="11"/>
  <c r="G21" i="11"/>
  <c r="H21" i="11"/>
  <c r="D21" i="11"/>
  <c r="G123" i="11"/>
  <c r="F123" i="11"/>
  <c r="E123" i="11"/>
  <c r="H123" i="11"/>
  <c r="D123" i="11"/>
  <c r="K122" i="11"/>
  <c r="J123" i="11"/>
  <c r="K70" i="11"/>
  <c r="J71" i="11"/>
  <c r="C22" i="11"/>
  <c r="B23" i="11"/>
  <c r="C73" i="11"/>
  <c r="B74" i="11"/>
  <c r="C124" i="11"/>
  <c r="B125" i="11"/>
  <c r="N119" i="10"/>
  <c r="M119" i="10"/>
  <c r="P119" i="10"/>
  <c r="L119" i="10"/>
  <c r="O119" i="10"/>
  <c r="A153" i="10"/>
  <c r="A154" i="10" s="1"/>
  <c r="A115" i="10"/>
  <c r="J17" i="10"/>
  <c r="C120" i="10"/>
  <c r="B121" i="10"/>
  <c r="B19" i="10"/>
  <c r="B87" i="10"/>
  <c r="C87" i="10" s="1"/>
  <c r="B86" i="10"/>
  <c r="C86" i="10" s="1"/>
  <c r="B83" i="10"/>
  <c r="C83" i="10" s="1"/>
  <c r="B84" i="10"/>
  <c r="C84" i="10" s="1"/>
  <c r="B85" i="10"/>
  <c r="C85" i="10" s="1"/>
  <c r="B82" i="10"/>
  <c r="C82" i="10" s="1"/>
  <c r="B69" i="10"/>
  <c r="C69" i="10" s="1"/>
  <c r="A61" i="10"/>
  <c r="M70" i="11" l="1"/>
  <c r="P70" i="11"/>
  <c r="L70" i="11"/>
  <c r="O70" i="11"/>
  <c r="N70" i="11"/>
  <c r="K123" i="11"/>
  <c r="J124" i="11"/>
  <c r="K18" i="11"/>
  <c r="E124" i="11"/>
  <c r="H124" i="11"/>
  <c r="D124" i="11"/>
  <c r="G124" i="11"/>
  <c r="F124" i="11"/>
  <c r="H22" i="11"/>
  <c r="D22" i="11"/>
  <c r="G22" i="11"/>
  <c r="F22" i="11"/>
  <c r="E22" i="11"/>
  <c r="P122" i="11"/>
  <c r="L122" i="11"/>
  <c r="O122" i="11"/>
  <c r="N122" i="11"/>
  <c r="M122" i="11"/>
  <c r="H73" i="11"/>
  <c r="D73" i="11"/>
  <c r="G73" i="11"/>
  <c r="F73" i="11"/>
  <c r="E73" i="11"/>
  <c r="J19" i="11"/>
  <c r="C125" i="11"/>
  <c r="B126" i="11"/>
  <c r="C23" i="11"/>
  <c r="B24" i="11"/>
  <c r="C74" i="11"/>
  <c r="B75" i="11"/>
  <c r="K71" i="11"/>
  <c r="J72" i="11"/>
  <c r="H120" i="10"/>
  <c r="E120" i="10"/>
  <c r="F120" i="10"/>
  <c r="G120" i="10"/>
  <c r="D120" i="10"/>
  <c r="A51" i="10"/>
  <c r="A52" i="10" s="1"/>
  <c r="A13" i="10"/>
  <c r="K17" i="10"/>
  <c r="J68" i="10"/>
  <c r="K68" i="10" s="1"/>
  <c r="B70" i="10"/>
  <c r="C19" i="10"/>
  <c r="B20" i="10"/>
  <c r="C121" i="10"/>
  <c r="B122" i="10"/>
  <c r="J138" i="10"/>
  <c r="K138" i="10" s="1"/>
  <c r="J135" i="10"/>
  <c r="K135" i="10" s="1"/>
  <c r="J136" i="10"/>
  <c r="K136" i="10" s="1"/>
  <c r="J133" i="10"/>
  <c r="K133" i="10" s="1"/>
  <c r="J120" i="10"/>
  <c r="K120" i="10" s="1"/>
  <c r="J134" i="10"/>
  <c r="K134" i="10" s="1"/>
  <c r="J137" i="10"/>
  <c r="K137" i="10" s="1"/>
  <c r="F74" i="11" l="1"/>
  <c r="E74" i="11"/>
  <c r="H74" i="11"/>
  <c r="D74" i="11"/>
  <c r="G74" i="11"/>
  <c r="F23" i="11"/>
  <c r="E23" i="11"/>
  <c r="H23" i="11"/>
  <c r="G23" i="11"/>
  <c r="D23" i="11"/>
  <c r="G125" i="11"/>
  <c r="F125" i="11"/>
  <c r="E125" i="11"/>
  <c r="H125" i="11"/>
  <c r="D125" i="11"/>
  <c r="O71" i="11"/>
  <c r="N71" i="11"/>
  <c r="M71" i="11"/>
  <c r="P71" i="11"/>
  <c r="L71" i="11"/>
  <c r="J20" i="11"/>
  <c r="K19" i="11"/>
  <c r="K124" i="11"/>
  <c r="J125" i="11"/>
  <c r="N123" i="11"/>
  <c r="M123" i="11"/>
  <c r="P123" i="11"/>
  <c r="L123" i="11"/>
  <c r="O123" i="11"/>
  <c r="C75" i="11"/>
  <c r="B76" i="11"/>
  <c r="C24" i="11"/>
  <c r="B25" i="11"/>
  <c r="C126" i="11"/>
  <c r="B127" i="11"/>
  <c r="K72" i="11"/>
  <c r="J73" i="11"/>
  <c r="L120" i="10"/>
  <c r="P120" i="10"/>
  <c r="M120" i="10"/>
  <c r="N120" i="10"/>
  <c r="O120" i="10"/>
  <c r="N138" i="10"/>
  <c r="O138" i="10"/>
  <c r="P138" i="10"/>
  <c r="L138" i="10"/>
  <c r="M138" i="10"/>
  <c r="O134" i="10"/>
  <c r="P134" i="10"/>
  <c r="L134" i="10"/>
  <c r="M134" i="10"/>
  <c r="N134" i="10"/>
  <c r="O133" i="10"/>
  <c r="L133" i="10"/>
  <c r="P133" i="10"/>
  <c r="M133" i="10"/>
  <c r="N133" i="10"/>
  <c r="M135" i="10"/>
  <c r="N135" i="10"/>
  <c r="O135" i="10"/>
  <c r="L135" i="10"/>
  <c r="P135" i="10"/>
  <c r="L137" i="10"/>
  <c r="P137" i="10"/>
  <c r="M137" i="10"/>
  <c r="N137" i="10"/>
  <c r="O137" i="10"/>
  <c r="P136" i="10"/>
  <c r="M136" i="10"/>
  <c r="N136" i="10"/>
  <c r="O136" i="10"/>
  <c r="L136" i="10"/>
  <c r="D121" i="10"/>
  <c r="H121" i="10"/>
  <c r="E121" i="10"/>
  <c r="F121" i="10"/>
  <c r="G121" i="10"/>
  <c r="J121" i="10"/>
  <c r="C122" i="10"/>
  <c r="B123" i="10"/>
  <c r="C70" i="10"/>
  <c r="B71" i="10"/>
  <c r="J35" i="10"/>
  <c r="K35" i="10" s="1"/>
  <c r="J33" i="10"/>
  <c r="K33" i="10" s="1"/>
  <c r="J31" i="10"/>
  <c r="K31" i="10" s="1"/>
  <c r="J34" i="10"/>
  <c r="K34" i="10" s="1"/>
  <c r="J32" i="10"/>
  <c r="K32" i="10" s="1"/>
  <c r="J36" i="10"/>
  <c r="K36" i="10" s="1"/>
  <c r="J18" i="10"/>
  <c r="J19" i="10" s="1"/>
  <c r="A102" i="10"/>
  <c r="A103" i="10" s="1"/>
  <c r="A64" i="10"/>
  <c r="C20" i="10"/>
  <c r="B21" i="10"/>
  <c r="M72" i="11" l="1"/>
  <c r="P72" i="11"/>
  <c r="L72" i="11"/>
  <c r="O72" i="11"/>
  <c r="N72" i="11"/>
  <c r="E126" i="11"/>
  <c r="H126" i="11"/>
  <c r="D126" i="11"/>
  <c r="G126" i="11"/>
  <c r="F126" i="11"/>
  <c r="E75" i="11"/>
  <c r="G75" i="11"/>
  <c r="H75" i="11"/>
  <c r="F75" i="11"/>
  <c r="D75" i="11"/>
  <c r="H24" i="11"/>
  <c r="D24" i="11"/>
  <c r="G24" i="11"/>
  <c r="F24" i="11"/>
  <c r="E24" i="11"/>
  <c r="K20" i="11"/>
  <c r="J21" i="11"/>
  <c r="J126" i="11"/>
  <c r="K125" i="11"/>
  <c r="P124" i="11"/>
  <c r="L124" i="11"/>
  <c r="O124" i="11"/>
  <c r="N124" i="11"/>
  <c r="M124" i="11"/>
  <c r="C127" i="11"/>
  <c r="B128" i="11"/>
  <c r="C76" i="11"/>
  <c r="B77" i="11"/>
  <c r="C25" i="11"/>
  <c r="B26" i="11"/>
  <c r="K73" i="11"/>
  <c r="J74" i="11"/>
  <c r="G122" i="10"/>
  <c r="H122" i="10"/>
  <c r="D122" i="10"/>
  <c r="E122" i="10"/>
  <c r="F122" i="10"/>
  <c r="K19" i="10"/>
  <c r="J20" i="10"/>
  <c r="K20" i="10" s="1"/>
  <c r="K18" i="10"/>
  <c r="J21" i="10"/>
  <c r="J86" i="10"/>
  <c r="K86" i="10" s="1"/>
  <c r="J84" i="10"/>
  <c r="K84" i="10" s="1"/>
  <c r="J82" i="10"/>
  <c r="K82" i="10" s="1"/>
  <c r="J81" i="10"/>
  <c r="K81" i="10" s="1"/>
  <c r="J87" i="10"/>
  <c r="K87" i="10" s="1"/>
  <c r="J85" i="10"/>
  <c r="K85" i="10" s="1"/>
  <c r="J83" i="10"/>
  <c r="K83" i="10" s="1"/>
  <c r="J69" i="10"/>
  <c r="K69" i="10" s="1"/>
  <c r="C123" i="10"/>
  <c r="B124" i="10"/>
  <c r="C21" i="10"/>
  <c r="B22" i="10"/>
  <c r="K121" i="10"/>
  <c r="J122" i="10"/>
  <c r="C71" i="10"/>
  <c r="B72" i="10"/>
  <c r="O73" i="11" l="1"/>
  <c r="N73" i="11"/>
  <c r="M73" i="11"/>
  <c r="P73" i="11"/>
  <c r="L73" i="11"/>
  <c r="F25" i="11"/>
  <c r="E25" i="11"/>
  <c r="D25" i="11"/>
  <c r="H25" i="11"/>
  <c r="G25" i="11"/>
  <c r="G127" i="11"/>
  <c r="F127" i="11"/>
  <c r="E127" i="11"/>
  <c r="H127" i="11"/>
  <c r="D127" i="11"/>
  <c r="J22" i="11"/>
  <c r="K21" i="11"/>
  <c r="G76" i="11"/>
  <c r="E76" i="11"/>
  <c r="H76" i="11"/>
  <c r="F76" i="11"/>
  <c r="D76" i="11"/>
  <c r="N125" i="11"/>
  <c r="M125" i="11"/>
  <c r="P125" i="11"/>
  <c r="L125" i="11"/>
  <c r="O125" i="11"/>
  <c r="J127" i="11"/>
  <c r="K126" i="11"/>
  <c r="C26" i="11"/>
  <c r="B27" i="11"/>
  <c r="C128" i="11"/>
  <c r="B129" i="11"/>
  <c r="K74" i="11"/>
  <c r="J75" i="11"/>
  <c r="C77" i="11"/>
  <c r="B78" i="11"/>
  <c r="O121" i="10"/>
  <c r="L121" i="10"/>
  <c r="P121" i="10"/>
  <c r="M121" i="10"/>
  <c r="N121" i="10"/>
  <c r="E123" i="10"/>
  <c r="F123" i="10"/>
  <c r="G123" i="10"/>
  <c r="D123" i="10"/>
  <c r="H123" i="10"/>
  <c r="J70" i="10"/>
  <c r="K70" i="10" s="1"/>
  <c r="C72" i="10"/>
  <c r="B73" i="10"/>
  <c r="C22" i="10"/>
  <c r="B23" i="10"/>
  <c r="K21" i="10"/>
  <c r="J22" i="10"/>
  <c r="K122" i="10"/>
  <c r="J123" i="10"/>
  <c r="C124" i="10"/>
  <c r="B125" i="10"/>
  <c r="J71" i="10"/>
  <c r="E128" i="11" l="1"/>
  <c r="H128" i="11"/>
  <c r="D128" i="11"/>
  <c r="G128" i="11"/>
  <c r="F128" i="11"/>
  <c r="N74" i="11"/>
  <c r="P74" i="11"/>
  <c r="L74" i="11"/>
  <c r="O74" i="11"/>
  <c r="M74" i="11"/>
  <c r="H26" i="11"/>
  <c r="D26" i="11"/>
  <c r="G26" i="11"/>
  <c r="F26" i="11"/>
  <c r="E26" i="11"/>
  <c r="E77" i="11"/>
  <c r="G77" i="11"/>
  <c r="F77" i="11"/>
  <c r="D77" i="11"/>
  <c r="H77" i="11"/>
  <c r="P126" i="11"/>
  <c r="L126" i="11"/>
  <c r="O126" i="11"/>
  <c r="N126" i="11"/>
  <c r="M126" i="11"/>
  <c r="J128" i="11"/>
  <c r="K127" i="11"/>
  <c r="J23" i="11"/>
  <c r="K22" i="11"/>
  <c r="C78" i="11"/>
  <c r="B79" i="11"/>
  <c r="C79" i="11" s="1"/>
  <c r="K75" i="11"/>
  <c r="J76" i="11"/>
  <c r="C27" i="11"/>
  <c r="B28" i="11"/>
  <c r="C28" i="11" s="1"/>
  <c r="J130" i="11"/>
  <c r="K130" i="11" s="1"/>
  <c r="D39" i="11"/>
  <c r="H90" i="11"/>
  <c r="C129" i="11"/>
  <c r="B130" i="11"/>
  <c r="C130" i="11" s="1"/>
  <c r="G141" i="11"/>
  <c r="H124" i="10"/>
  <c r="E124" i="10"/>
  <c r="F124" i="10"/>
  <c r="G124" i="10"/>
  <c r="D124" i="10"/>
  <c r="N122" i="10"/>
  <c r="O122" i="10"/>
  <c r="L122" i="10"/>
  <c r="P122" i="10"/>
  <c r="M122" i="10"/>
  <c r="K71" i="10"/>
  <c r="J72" i="10"/>
  <c r="K123" i="10"/>
  <c r="J124" i="10"/>
  <c r="K22" i="10"/>
  <c r="J23" i="10"/>
  <c r="C125" i="10"/>
  <c r="B126" i="10"/>
  <c r="C23" i="10"/>
  <c r="B24" i="10"/>
  <c r="C73" i="10"/>
  <c r="B74" i="10"/>
  <c r="E130" i="11" l="1"/>
  <c r="H130" i="11"/>
  <c r="D130" i="11"/>
  <c r="G130" i="11"/>
  <c r="F130" i="11"/>
  <c r="F27" i="11"/>
  <c r="E27" i="11"/>
  <c r="H27" i="11"/>
  <c r="D27" i="11"/>
  <c r="G27" i="11"/>
  <c r="G129" i="11"/>
  <c r="F129" i="11"/>
  <c r="E129" i="11"/>
  <c r="H129" i="11"/>
  <c r="D129" i="11"/>
  <c r="G78" i="11"/>
  <c r="E78" i="11"/>
  <c r="D78" i="11"/>
  <c r="H78" i="11"/>
  <c r="F78" i="11"/>
  <c r="N127" i="11"/>
  <c r="M127" i="11"/>
  <c r="P127" i="11"/>
  <c r="L127" i="11"/>
  <c r="O127" i="11"/>
  <c r="P130" i="11"/>
  <c r="L130" i="11"/>
  <c r="O130" i="11"/>
  <c r="N130" i="11"/>
  <c r="M130" i="11"/>
  <c r="H28" i="11"/>
  <c r="D28" i="11"/>
  <c r="G28" i="11"/>
  <c r="F28" i="11"/>
  <c r="E28" i="11"/>
  <c r="K128" i="11"/>
  <c r="J129" i="11"/>
  <c r="K129" i="11" s="1"/>
  <c r="P75" i="11"/>
  <c r="L75" i="11"/>
  <c r="N75" i="11"/>
  <c r="M75" i="11"/>
  <c r="O75" i="11"/>
  <c r="J24" i="11"/>
  <c r="K23" i="11"/>
  <c r="E79" i="11"/>
  <c r="G79" i="11"/>
  <c r="H79" i="11"/>
  <c r="F79" i="11"/>
  <c r="D79" i="11"/>
  <c r="F144" i="11"/>
  <c r="F142" i="11"/>
  <c r="E144" i="11"/>
  <c r="E142" i="11"/>
  <c r="H144" i="11"/>
  <c r="D144" i="11"/>
  <c r="H142" i="11"/>
  <c r="D142" i="11"/>
  <c r="G144" i="11"/>
  <c r="G142" i="11"/>
  <c r="K76" i="11"/>
  <c r="J77" i="11"/>
  <c r="F42" i="11"/>
  <c r="F40" i="11"/>
  <c r="G42" i="11"/>
  <c r="H40" i="11"/>
  <c r="D42" i="11"/>
  <c r="E40" i="11"/>
  <c r="H42" i="11"/>
  <c r="D40" i="11"/>
  <c r="G40" i="11"/>
  <c r="E42" i="11"/>
  <c r="G93" i="11"/>
  <c r="G91" i="11"/>
  <c r="F93" i="11"/>
  <c r="F91" i="11"/>
  <c r="E93" i="11"/>
  <c r="D93" i="11"/>
  <c r="H91" i="11"/>
  <c r="E91" i="11"/>
  <c r="H93" i="11"/>
  <c r="D91" i="11"/>
  <c r="D125" i="10"/>
  <c r="H125" i="10"/>
  <c r="E125" i="10"/>
  <c r="F125" i="10"/>
  <c r="G125" i="10"/>
  <c r="M123" i="10"/>
  <c r="N123" i="10"/>
  <c r="O123" i="10"/>
  <c r="L123" i="10"/>
  <c r="P123" i="10"/>
  <c r="C74" i="10"/>
  <c r="B75" i="10"/>
  <c r="K124" i="10"/>
  <c r="J125" i="10"/>
  <c r="C24" i="10"/>
  <c r="B25" i="10"/>
  <c r="K23" i="10"/>
  <c r="J24" i="10"/>
  <c r="K72" i="10"/>
  <c r="J73" i="10"/>
  <c r="C126" i="10"/>
  <c r="B127" i="10"/>
  <c r="N76" i="11" l="1"/>
  <c r="P76" i="11"/>
  <c r="L76" i="11"/>
  <c r="O76" i="11"/>
  <c r="M76" i="11"/>
  <c r="N129" i="11"/>
  <c r="M129" i="11"/>
  <c r="P129" i="11"/>
  <c r="L129" i="11"/>
  <c r="O129" i="11"/>
  <c r="K24" i="11"/>
  <c r="J25" i="11"/>
  <c r="P128" i="11"/>
  <c r="L128" i="11"/>
  <c r="O128" i="11"/>
  <c r="O141" i="11" s="1"/>
  <c r="N128" i="11"/>
  <c r="M128" i="11"/>
  <c r="G145" i="11"/>
  <c r="E149" i="11" s="1"/>
  <c r="F149" i="11"/>
  <c r="H94" i="11"/>
  <c r="G98" i="11" s="1"/>
  <c r="D43" i="11"/>
  <c r="F47" i="11" s="1"/>
  <c r="K77" i="11"/>
  <c r="J78" i="11"/>
  <c r="F126" i="10"/>
  <c r="G126" i="10"/>
  <c r="H126" i="10"/>
  <c r="D126" i="10"/>
  <c r="E126" i="10"/>
  <c r="L124" i="10"/>
  <c r="P124" i="10"/>
  <c r="M124" i="10"/>
  <c r="N124" i="10"/>
  <c r="O124" i="10"/>
  <c r="K24" i="10"/>
  <c r="J25" i="10"/>
  <c r="K73" i="10"/>
  <c r="J74" i="10"/>
  <c r="K125" i="10"/>
  <c r="J126" i="10"/>
  <c r="C75" i="10"/>
  <c r="B76" i="10"/>
  <c r="C127" i="10"/>
  <c r="B128" i="10"/>
  <c r="C25" i="10"/>
  <c r="B26" i="10"/>
  <c r="D149" i="11" l="1"/>
  <c r="O144" i="11"/>
  <c r="L144" i="11"/>
  <c r="O142" i="11"/>
  <c r="M144" i="11"/>
  <c r="P142" i="11"/>
  <c r="N144" i="11"/>
  <c r="P144" i="11"/>
  <c r="M142" i="11"/>
  <c r="L142" i="11"/>
  <c r="N142" i="11"/>
  <c r="P77" i="11"/>
  <c r="L77" i="11"/>
  <c r="N77" i="11"/>
  <c r="O77" i="11"/>
  <c r="M77" i="11"/>
  <c r="G149" i="11"/>
  <c r="K25" i="11"/>
  <c r="J26" i="11"/>
  <c r="P90" i="11"/>
  <c r="F98" i="11"/>
  <c r="E47" i="11"/>
  <c r="D98" i="11"/>
  <c r="H47" i="11"/>
  <c r="H98" i="11"/>
  <c r="E98" i="11"/>
  <c r="H149" i="11"/>
  <c r="K78" i="11"/>
  <c r="J79" i="11"/>
  <c r="K79" i="11" s="1"/>
  <c r="D47" i="11"/>
  <c r="G47" i="11"/>
  <c r="J28" i="11"/>
  <c r="F127" i="10"/>
  <c r="G127" i="10"/>
  <c r="D127" i="10"/>
  <c r="H127" i="10"/>
  <c r="E127" i="10"/>
  <c r="L125" i="10"/>
  <c r="P125" i="10"/>
  <c r="M125" i="10"/>
  <c r="N125" i="10"/>
  <c r="O125" i="10"/>
  <c r="C26" i="10"/>
  <c r="B27" i="10"/>
  <c r="C76" i="10"/>
  <c r="B77" i="10"/>
  <c r="K74" i="10"/>
  <c r="J75" i="10"/>
  <c r="C128" i="10"/>
  <c r="B129" i="10"/>
  <c r="K126" i="10"/>
  <c r="J127" i="10"/>
  <c r="K25" i="10"/>
  <c r="J26" i="10"/>
  <c r="N78" i="11" l="1"/>
  <c r="P78" i="11"/>
  <c r="L78" i="11"/>
  <c r="O78" i="11"/>
  <c r="M78" i="11"/>
  <c r="P79" i="11"/>
  <c r="L79" i="11"/>
  <c r="N79" i="11"/>
  <c r="M79" i="11"/>
  <c r="O79" i="11"/>
  <c r="L39" i="11"/>
  <c r="K26" i="11"/>
  <c r="J27" i="11"/>
  <c r="O145" i="11"/>
  <c r="O149" i="11" s="1"/>
  <c r="G154" i="11" s="1"/>
  <c r="G107" i="11" s="1"/>
  <c r="K28" i="11"/>
  <c r="N93" i="11"/>
  <c r="N91" i="11"/>
  <c r="M93" i="11"/>
  <c r="M91" i="11"/>
  <c r="P93" i="11"/>
  <c r="L91" i="11"/>
  <c r="O93" i="11"/>
  <c r="L93" i="11"/>
  <c r="P91" i="11"/>
  <c r="O91" i="11"/>
  <c r="N126" i="10"/>
  <c r="O126" i="10"/>
  <c r="L126" i="10"/>
  <c r="P126" i="10"/>
  <c r="M126" i="10"/>
  <c r="H128" i="10"/>
  <c r="E128" i="10"/>
  <c r="F128" i="10"/>
  <c r="G128" i="10"/>
  <c r="D128" i="10"/>
  <c r="K26" i="10"/>
  <c r="J27" i="10"/>
  <c r="C129" i="10"/>
  <c r="B130" i="10"/>
  <c r="C27" i="10"/>
  <c r="B28" i="10"/>
  <c r="K127" i="10"/>
  <c r="J128" i="10"/>
  <c r="K75" i="10"/>
  <c r="J76" i="10"/>
  <c r="C77" i="10"/>
  <c r="B78" i="10"/>
  <c r="O42" i="11" l="1"/>
  <c r="P40" i="11"/>
  <c r="L40" i="11"/>
  <c r="M40" i="11"/>
  <c r="N40" i="11"/>
  <c r="M42" i="11"/>
  <c r="L42" i="11"/>
  <c r="N42" i="11"/>
  <c r="O40" i="11"/>
  <c r="P42" i="11"/>
  <c r="M149" i="11"/>
  <c r="E154" i="11" s="1"/>
  <c r="E107" i="11" s="1"/>
  <c r="N149" i="11"/>
  <c r="F154" i="11" s="1"/>
  <c r="F107" i="11" s="1"/>
  <c r="K27" i="11"/>
  <c r="P149" i="11"/>
  <c r="H154" i="11" s="1"/>
  <c r="H107" i="11" s="1"/>
  <c r="L149" i="11"/>
  <c r="D154" i="11" s="1"/>
  <c r="D107" i="11" s="1"/>
  <c r="P94" i="11"/>
  <c r="N98" i="11" s="1"/>
  <c r="F103" i="11" s="1"/>
  <c r="F56" i="11" s="1"/>
  <c r="M127" i="10"/>
  <c r="N127" i="10"/>
  <c r="O127" i="10"/>
  <c r="L127" i="10"/>
  <c r="P127" i="10"/>
  <c r="D129" i="10"/>
  <c r="H129" i="10"/>
  <c r="E129" i="10"/>
  <c r="F129" i="10"/>
  <c r="G129" i="10"/>
  <c r="K76" i="10"/>
  <c r="J77" i="10"/>
  <c r="C28" i="10"/>
  <c r="B29" i="10"/>
  <c r="H90" i="10"/>
  <c r="K128" i="10"/>
  <c r="J129" i="10"/>
  <c r="C78" i="10"/>
  <c r="B79" i="10"/>
  <c r="K27" i="10"/>
  <c r="J28" i="10"/>
  <c r="C130" i="10"/>
  <c r="B131" i="10"/>
  <c r="C131" i="10" s="1"/>
  <c r="P98" i="11" l="1"/>
  <c r="H103" i="11" s="1"/>
  <c r="H56" i="11" s="1"/>
  <c r="L98" i="11"/>
  <c r="D103" i="11" s="1"/>
  <c r="D56" i="11" s="1"/>
  <c r="M98" i="11"/>
  <c r="E103" i="11" s="1"/>
  <c r="E56" i="11" s="1"/>
  <c r="L43" i="11"/>
  <c r="O98" i="11"/>
  <c r="G103" i="11" s="1"/>
  <c r="G56" i="11" s="1"/>
  <c r="F131" i="10"/>
  <c r="G131" i="10"/>
  <c r="D131" i="10"/>
  <c r="H131" i="10"/>
  <c r="E131" i="10"/>
  <c r="L128" i="10"/>
  <c r="P128" i="10"/>
  <c r="M128" i="10"/>
  <c r="N128" i="10"/>
  <c r="O128" i="10"/>
  <c r="F130" i="10"/>
  <c r="G130" i="10"/>
  <c r="H130" i="10"/>
  <c r="D130" i="10"/>
  <c r="E130" i="10"/>
  <c r="G141" i="10"/>
  <c r="K77" i="10"/>
  <c r="J78" i="10"/>
  <c r="C79" i="10"/>
  <c r="B80" i="10"/>
  <c r="K129" i="10"/>
  <c r="J130" i="10"/>
  <c r="K28" i="10"/>
  <c r="J29" i="10"/>
  <c r="C29" i="10"/>
  <c r="B30" i="10"/>
  <c r="C30" i="10" s="1"/>
  <c r="H93" i="10"/>
  <c r="D93" i="10"/>
  <c r="H91" i="10"/>
  <c r="D91" i="10"/>
  <c r="G93" i="10"/>
  <c r="G91" i="10"/>
  <c r="F93" i="10"/>
  <c r="E93" i="10"/>
  <c r="E91" i="10"/>
  <c r="F91" i="10"/>
  <c r="L39" i="10"/>
  <c r="D39" i="10"/>
  <c r="M47" i="11" l="1"/>
  <c r="E52" i="11" s="1"/>
  <c r="E5" i="11" s="1"/>
  <c r="O47" i="11"/>
  <c r="G52" i="11" s="1"/>
  <c r="G5" i="11" s="1"/>
  <c r="N47" i="11"/>
  <c r="F52" i="11" s="1"/>
  <c r="F5" i="11" s="1"/>
  <c r="L47" i="11"/>
  <c r="D52" i="11" s="1"/>
  <c r="D5" i="11" s="1"/>
  <c r="P47" i="11"/>
  <c r="H52" i="11" s="1"/>
  <c r="H5" i="11" s="1"/>
  <c r="O129" i="10"/>
  <c r="L129" i="10"/>
  <c r="P129" i="10"/>
  <c r="M129" i="10"/>
  <c r="N129" i="10"/>
  <c r="G144" i="10"/>
  <c r="G142" i="10"/>
  <c r="D144" i="10"/>
  <c r="E142" i="10"/>
  <c r="H144" i="10"/>
  <c r="D142" i="10"/>
  <c r="F144" i="10"/>
  <c r="H142" i="10"/>
  <c r="E144" i="10"/>
  <c r="F142" i="10"/>
  <c r="H42" i="10"/>
  <c r="D42" i="10"/>
  <c r="H40" i="10"/>
  <c r="D40" i="10"/>
  <c r="F42" i="10"/>
  <c r="G40" i="10"/>
  <c r="E42" i="10"/>
  <c r="F40" i="10"/>
  <c r="G42" i="10"/>
  <c r="E40" i="10"/>
  <c r="K130" i="10"/>
  <c r="J131" i="10"/>
  <c r="K78" i="10"/>
  <c r="J79" i="10"/>
  <c r="O42" i="10"/>
  <c r="O40" i="10"/>
  <c r="N42" i="10"/>
  <c r="P40" i="10"/>
  <c r="M42" i="10"/>
  <c r="N40" i="10"/>
  <c r="P42" i="10"/>
  <c r="L40" i="10"/>
  <c r="M40" i="10"/>
  <c r="L42" i="10"/>
  <c r="H94" i="10"/>
  <c r="D98" i="10" s="1"/>
  <c r="P90" i="10"/>
  <c r="K29" i="10"/>
  <c r="J30" i="10"/>
  <c r="K30" i="10" s="1"/>
  <c r="C80" i="10"/>
  <c r="B81" i="10"/>
  <c r="C81" i="10" s="1"/>
  <c r="O130" i="10" l="1"/>
  <c r="P130" i="10"/>
  <c r="L130" i="10"/>
  <c r="M130" i="10"/>
  <c r="N130" i="10"/>
  <c r="H98" i="10"/>
  <c r="G98" i="10"/>
  <c r="F98" i="10"/>
  <c r="E98" i="10"/>
  <c r="O93" i="10"/>
  <c r="O91" i="10"/>
  <c r="N93" i="10"/>
  <c r="N91" i="10"/>
  <c r="M93" i="10"/>
  <c r="P93" i="10"/>
  <c r="L93" i="10"/>
  <c r="P91" i="10"/>
  <c r="L91" i="10"/>
  <c r="M91" i="10"/>
  <c r="K131" i="10"/>
  <c r="J132" i="10"/>
  <c r="K132" i="10" s="1"/>
  <c r="O141" i="10"/>
  <c r="L43" i="10"/>
  <c r="N47" i="10" s="1"/>
  <c r="K79" i="10"/>
  <c r="J80" i="10"/>
  <c r="K80" i="10" s="1"/>
  <c r="D43" i="10"/>
  <c r="E47" i="10" s="1"/>
  <c r="G145" i="10"/>
  <c r="F149" i="10" s="1"/>
  <c r="L132" i="10" l="1"/>
  <c r="M132" i="10"/>
  <c r="N132" i="10"/>
  <c r="O132" i="10"/>
  <c r="P132" i="10"/>
  <c r="M131" i="10"/>
  <c r="N131" i="10"/>
  <c r="O131" i="10"/>
  <c r="L131" i="10"/>
  <c r="P131" i="10"/>
  <c r="D149" i="10"/>
  <c r="F47" i="10"/>
  <c r="F52" i="10" s="1"/>
  <c r="F5" i="10" s="1"/>
  <c r="G149" i="10"/>
  <c r="D47" i="10"/>
  <c r="P47" i="10"/>
  <c r="E149" i="10"/>
  <c r="N144" i="10"/>
  <c r="N142" i="10"/>
  <c r="L144" i="10"/>
  <c r="M142" i="10"/>
  <c r="P144" i="10"/>
  <c r="L142" i="10"/>
  <c r="O144" i="10"/>
  <c r="P142" i="10"/>
  <c r="M144" i="10"/>
  <c r="O142" i="10"/>
  <c r="H149" i="10"/>
  <c r="H47" i="10"/>
  <c r="L47" i="10"/>
  <c r="G47" i="10"/>
  <c r="O47" i="10"/>
  <c r="P94" i="10"/>
  <c r="M98" i="10" s="1"/>
  <c r="E103" i="10" s="1"/>
  <c r="E56" i="10" s="1"/>
  <c r="M47" i="10"/>
  <c r="E52" i="10" s="1"/>
  <c r="E5" i="10" s="1"/>
  <c r="H52" i="10" l="1"/>
  <c r="H5" i="10" s="1"/>
  <c r="P98" i="10"/>
  <c r="H103" i="10" s="1"/>
  <c r="H56" i="10" s="1"/>
  <c r="G52" i="10"/>
  <c r="G5" i="10" s="1"/>
  <c r="O145" i="10"/>
  <c r="O149" i="10" s="1"/>
  <c r="G154" i="10" s="1"/>
  <c r="G107" i="10" s="1"/>
  <c r="L98" i="10"/>
  <c r="D103" i="10" s="1"/>
  <c r="D56" i="10" s="1"/>
  <c r="O98" i="10"/>
  <c r="G103" i="10" s="1"/>
  <c r="G56" i="10" s="1"/>
  <c r="N98" i="10"/>
  <c r="F103" i="10" s="1"/>
  <c r="F56" i="10" s="1"/>
  <c r="D52" i="10"/>
  <c r="D5" i="10" s="1"/>
  <c r="N149" i="10" l="1"/>
  <c r="F154" i="10" s="1"/>
  <c r="F107" i="10" s="1"/>
  <c r="P149" i="10"/>
  <c r="H154" i="10" s="1"/>
  <c r="H107" i="10" s="1"/>
  <c r="L149" i="10"/>
  <c r="D154" i="10" s="1"/>
  <c r="D107" i="10" s="1"/>
  <c r="M149" i="10"/>
  <c r="E154" i="10" s="1"/>
  <c r="E107" i="10" s="1"/>
  <c r="M10" i="9" l="1"/>
  <c r="AJ10" i="9" s="1"/>
  <c r="M5" i="9"/>
  <c r="AH5" i="9" s="1"/>
  <c r="Q10" i="9" l="1"/>
  <c r="U10" i="9"/>
  <c r="Y10" i="9"/>
  <c r="AC10" i="9"/>
  <c r="AG10" i="9"/>
  <c r="AK10" i="9"/>
  <c r="O5" i="9"/>
  <c r="S5" i="9"/>
  <c r="W5" i="9"/>
  <c r="AA5" i="9"/>
  <c r="AE5" i="9"/>
  <c r="AI5" i="9"/>
  <c r="N10" i="9"/>
  <c r="R10" i="9"/>
  <c r="V10" i="9"/>
  <c r="Z10" i="9"/>
  <c r="AD10" i="9"/>
  <c r="AH10" i="9"/>
  <c r="T5" i="9"/>
  <c r="AB5" i="9"/>
  <c r="O10" i="9"/>
  <c r="S10" i="9"/>
  <c r="W10" i="9"/>
  <c r="AA10" i="9"/>
  <c r="AE10" i="9"/>
  <c r="AI10" i="9"/>
  <c r="Q5" i="9"/>
  <c r="U5" i="9"/>
  <c r="Y5" i="9"/>
  <c r="AC5" i="9"/>
  <c r="AG5" i="9"/>
  <c r="AK5" i="9"/>
  <c r="P10" i="9"/>
  <c r="A10" i="9" s="1"/>
  <c r="T10" i="9"/>
  <c r="X10" i="9"/>
  <c r="AB10" i="9"/>
  <c r="G10" i="9" s="1"/>
  <c r="AF10" i="9"/>
  <c r="I10" i="9" s="1"/>
  <c r="P5" i="9"/>
  <c r="X5" i="9"/>
  <c r="AF5" i="9"/>
  <c r="AJ5" i="9"/>
  <c r="N5" i="9"/>
  <c r="R5" i="9"/>
  <c r="V5" i="9"/>
  <c r="Z5" i="9"/>
  <c r="AD5" i="9"/>
  <c r="C10" i="9"/>
  <c r="E10" i="9"/>
  <c r="K5" i="8"/>
  <c r="J5" i="8"/>
  <c r="I5" i="8"/>
  <c r="H5" i="8"/>
  <c r="G5" i="8"/>
  <c r="F5" i="8"/>
  <c r="E5" i="8"/>
  <c r="D5" i="8"/>
  <c r="C5" i="8"/>
  <c r="K10" i="9" l="1"/>
  <c r="C5" i="9"/>
  <c r="J5" i="9"/>
  <c r="B5" i="9"/>
  <c r="E5" i="9"/>
  <c r="F10" i="9"/>
  <c r="H5" i="9"/>
  <c r="K5" i="9"/>
  <c r="D10" i="9"/>
  <c r="F5" i="9"/>
  <c r="I5" i="9"/>
  <c r="J10" i="9"/>
  <c r="D5" i="9"/>
  <c r="G5" i="9"/>
  <c r="H10" i="9"/>
  <c r="M10" i="8"/>
  <c r="AK10" i="8" s="1"/>
  <c r="M5" i="8"/>
  <c r="AK5" i="8" s="1"/>
  <c r="U10" i="8" l="1"/>
  <c r="N10" i="8"/>
  <c r="R10" i="8"/>
  <c r="V10" i="8"/>
  <c r="Z10" i="8"/>
  <c r="AD10" i="8"/>
  <c r="AH10" i="8"/>
  <c r="S10" i="8"/>
  <c r="AE10" i="8"/>
  <c r="AI10" i="8"/>
  <c r="O10" i="8"/>
  <c r="W10" i="8"/>
  <c r="AA10" i="8"/>
  <c r="P10" i="8"/>
  <c r="T10" i="8"/>
  <c r="C10" i="8" s="1"/>
  <c r="X10" i="8"/>
  <c r="E10" i="8" s="1"/>
  <c r="AB10" i="8"/>
  <c r="AF10" i="8"/>
  <c r="AJ10" i="8"/>
  <c r="K10" i="8" s="1"/>
  <c r="Q10" i="8"/>
  <c r="Y10" i="8"/>
  <c r="AC10" i="8"/>
  <c r="AG10" i="8"/>
  <c r="N5" i="8"/>
  <c r="R5" i="8"/>
  <c r="V5" i="8"/>
  <c r="Z5" i="8"/>
  <c r="AD5" i="8"/>
  <c r="AH5" i="8"/>
  <c r="O5" i="8"/>
  <c r="S5" i="8"/>
  <c r="W5" i="8"/>
  <c r="AA5" i="8"/>
  <c r="AE5" i="8"/>
  <c r="AI5" i="8"/>
  <c r="P5" i="8"/>
  <c r="T5" i="8"/>
  <c r="X5" i="8"/>
  <c r="AB5" i="8"/>
  <c r="AF5" i="8"/>
  <c r="AJ5" i="8"/>
  <c r="Q5" i="8"/>
  <c r="U5" i="8"/>
  <c r="Y5" i="8"/>
  <c r="AC5" i="8"/>
  <c r="AG5" i="8"/>
  <c r="J10" i="8" l="1"/>
  <c r="I10" i="8"/>
  <c r="H10" i="8"/>
  <c r="D10" i="8"/>
  <c r="A10" i="8"/>
  <c r="G10" i="8"/>
  <c r="F10" i="8"/>
  <c r="B5" i="8"/>
  <c r="K127" i="7" l="1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126" i="7"/>
  <c r="L126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127" i="7"/>
  <c r="H118" i="7" l="1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16" i="7"/>
  <c r="H117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</calcChain>
</file>

<file path=xl/comments1.xml><?xml version="1.0" encoding="utf-8"?>
<comments xmlns="http://schemas.openxmlformats.org/spreadsheetml/2006/main">
  <authors>
    <author>James Rule</author>
  </authors>
  <commentList>
    <comment ref="A13" authorId="0">
      <text>
        <r>
          <rPr>
            <sz val="9"/>
            <color indexed="81"/>
            <rFont val="Tahoma"/>
            <family val="2"/>
          </rPr>
          <t>Provides value for quality, when defined</t>
        </r>
      </text>
    </comment>
    <comment ref="A14" authorId="0">
      <text>
        <r>
          <rPr>
            <sz val="9"/>
            <color indexed="81"/>
            <rFont val="Tahoma"/>
            <family val="2"/>
          </rPr>
          <t>Property evaluation message for compressed liquids.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Low-temperature message, T&gt; 0.01 deg C</t>
        </r>
      </text>
    </comment>
    <comment ref="C86" authorId="0">
      <text>
        <r>
          <rPr>
            <b/>
            <sz val="9"/>
            <color indexed="81"/>
            <rFont val="Tahoma"/>
            <family val="2"/>
          </rPr>
          <t>James Rule:</t>
        </r>
        <r>
          <rPr>
            <sz val="9"/>
            <color indexed="81"/>
            <rFont val="Tahoma"/>
            <family val="2"/>
          </rPr>
          <t xml:space="preserve">
ice message when T&lt;0.01 deg C</t>
        </r>
      </text>
    </comment>
  </commentList>
</comments>
</file>

<file path=xl/sharedStrings.xml><?xml version="1.0" encoding="utf-8"?>
<sst xmlns="http://schemas.openxmlformats.org/spreadsheetml/2006/main" count="1678" uniqueCount="224">
  <si>
    <t>Tsat (deg C)</t>
  </si>
  <si>
    <t>Psat (kPa)</t>
  </si>
  <si>
    <t>vf (m^3/kg)</t>
  </si>
  <si>
    <t>vg (m^3/kg)</t>
  </si>
  <si>
    <t>uf (kJ/kg)</t>
  </si>
  <si>
    <t>ug (kJ/kg)</t>
  </si>
  <si>
    <t>hf (kJ/kg)</t>
  </si>
  <si>
    <t>hfg (kJ/kg)</t>
  </si>
  <si>
    <t>hg (kJ/kg)</t>
  </si>
  <si>
    <t>sf (kJ/kg K)</t>
  </si>
  <si>
    <t>sg (kJ/kg K)</t>
  </si>
  <si>
    <t>Table A-2 Properties of Saturated H2O:  Temperature Table</t>
  </si>
  <si>
    <t>Table A-3 Properties of Saturated H2O:  Pressure Table</t>
  </si>
  <si>
    <t>Table A-2E Properties of Saturated H2O:  Temperature Table</t>
  </si>
  <si>
    <t>Tsat (deg F)</t>
  </si>
  <si>
    <t>Psat (psia)</t>
  </si>
  <si>
    <t>vf (ft^3/lbm)</t>
  </si>
  <si>
    <t>vg (ft^3/lbm)</t>
  </si>
  <si>
    <t>uf (Btu/lbm)</t>
  </si>
  <si>
    <t>ug (Btu/lbm)</t>
  </si>
  <si>
    <t>hf (Btu/lbm)</t>
  </si>
  <si>
    <t>hfg (Btu/lbm)</t>
  </si>
  <si>
    <t>hg (Btu/lbm)</t>
  </si>
  <si>
    <t>sf (Btu/lbm R)</t>
  </si>
  <si>
    <t>sg (Btu/lbm R)</t>
  </si>
  <si>
    <t>Table A-3E Properties of Saturated H2O:  Pressure Table</t>
  </si>
  <si>
    <t>sfg (Btu/lbm R)</t>
  </si>
  <si>
    <t>P (kPa)</t>
  </si>
  <si>
    <t>T deg C)</t>
  </si>
  <si>
    <t>u (kJ/kg)</t>
  </si>
  <si>
    <t>h (kJ/kg)</t>
  </si>
  <si>
    <t>v (m^3/kg)</t>
  </si>
  <si>
    <t>s (kJ/kg K)</t>
  </si>
  <si>
    <t>Table A-4 Properties of Superheated Water Vapor</t>
  </si>
  <si>
    <t>Table A-4E Properties of Superheated Water Vapor</t>
  </si>
  <si>
    <t>P (psia)</t>
  </si>
  <si>
    <t>T deg F)</t>
  </si>
  <si>
    <t>v (ft^3/lbm)</t>
  </si>
  <si>
    <t>u (Btu/lbm)</t>
  </si>
  <si>
    <t>h (Btu/lbm)</t>
  </si>
  <si>
    <t>s (Btu/lbm R)</t>
  </si>
  <si>
    <t>Vapor Dome Prep</t>
  </si>
  <si>
    <t>Index</t>
  </si>
  <si>
    <t>v sat (ft^3/lbm)</t>
  </si>
  <si>
    <t>P</t>
  </si>
  <si>
    <t>v</t>
  </si>
  <si>
    <t>v max plot</t>
  </si>
  <si>
    <t>P-v Diagram</t>
  </si>
  <si>
    <t>Evaluation of Saturation Properties for R134a Refrigerant (SI Units)</t>
  </si>
  <si>
    <t>Interp at Right</t>
  </si>
  <si>
    <t>Match Row &lt;= selected prop</t>
  </si>
  <si>
    <t>Selected Prop at Match Row</t>
  </si>
  <si>
    <t>Selected Prop at Match Row+1</t>
  </si>
  <si>
    <t>Tsat at Match Row</t>
  </si>
  <si>
    <t>Tsat at Match Row +1</t>
  </si>
  <si>
    <t>Psat at Match Row</t>
  </si>
  <si>
    <t>Psat at Match Row +1</t>
  </si>
  <si>
    <t>vf at Match Row</t>
  </si>
  <si>
    <t>vf at Match Row +1</t>
  </si>
  <si>
    <t>vg at Match Row</t>
  </si>
  <si>
    <t>vg at Match Row +1</t>
  </si>
  <si>
    <t>uf at Match Row</t>
  </si>
  <si>
    <t>uf at Match Row +1</t>
  </si>
  <si>
    <t>ug at Match Row</t>
  </si>
  <si>
    <t>ug at Match Row +1</t>
  </si>
  <si>
    <t>hf at Match Row</t>
  </si>
  <si>
    <t>hf at Match Row +1</t>
  </si>
  <si>
    <t>hfg at Match Row</t>
  </si>
  <si>
    <t>hfg at Match Row +1</t>
  </si>
  <si>
    <t>hg at Match Row</t>
  </si>
  <si>
    <t>hg at Match Row +1</t>
  </si>
  <si>
    <t>sf at Match Row</t>
  </si>
  <si>
    <t>sf at Match Row +1</t>
  </si>
  <si>
    <t>sg at Match Row</t>
  </si>
  <si>
    <t>sg at Match Row +1</t>
  </si>
  <si>
    <t>Saturation Properties as a Function of Temperature (linked to TemperatureSI)</t>
  </si>
  <si>
    <t>Saturation Properties as a Function of Pressure (linked to TemperatureSI)</t>
  </si>
  <si>
    <t>Saturation Properties as a Function of Temperature (linked to TemperatureEnglish)</t>
  </si>
  <si>
    <t>Saturation Properties as a Function of Pressure (linked to TemperatureEnglish)</t>
  </si>
  <si>
    <t>Evaluation of Saturation Properties for R134a Refrigerant (English Units)</t>
  </si>
  <si>
    <t>-</t>
  </si>
  <si>
    <t>Lookup Work for Interpolating in Superheated Vapor Tables (English Units)</t>
  </si>
  <si>
    <t>SCROLL DOWN for (P,s) Known and (P,h) Known</t>
  </si>
  <si>
    <t>Double-Interpolation for (P,T) Known</t>
  </si>
  <si>
    <t>T (deg F)</t>
  </si>
  <si>
    <t>Match row for pressure &lt;= P</t>
  </si>
  <si>
    <t>Value for pressure at match row (First Pressure)</t>
  </si>
  <si>
    <t>Number of pressure entries</t>
  </si>
  <si>
    <t>First Row for next pressure</t>
  </si>
  <si>
    <t>Next pressure (&gt;P) (Second Pressure)</t>
  </si>
  <si>
    <t>Number of next-pressure entries</t>
  </si>
  <si>
    <t>Do the two pressures straddle the selected pressure?</t>
  </si>
  <si>
    <t>First Pressure</t>
  </si>
  <si>
    <t>Second Pressure</t>
  </si>
  <si>
    <t>Row</t>
  </si>
  <si>
    <t>Lookup?</t>
  </si>
  <si>
    <t>T (deg F) from above</t>
  </si>
  <si>
    <t>First Match Row</t>
  </si>
  <si>
    <t>First Property</t>
  </si>
  <si>
    <t>Selected T</t>
  </si>
  <si>
    <t>Next Property</t>
  </si>
  <si>
    <t>Interpolating Fraction</t>
  </si>
  <si>
    <t>Props at Selected Temperature at 1st Pressure</t>
  </si>
  <si>
    <t>Props at Selected Temperature at 2nd Pressure</t>
  </si>
  <si>
    <t>Selected Pressure</t>
  </si>
  <si>
    <t>Props at Selected Temperature and Pressure</t>
  </si>
  <si>
    <t>Next Pressure</t>
  </si>
  <si>
    <t>Double-Interpolation for (P,s) Known</t>
  </si>
  <si>
    <t>s (Btu/lbm R) from above</t>
  </si>
  <si>
    <t>Selected Property Value</t>
  </si>
  <si>
    <t>Props at Selected s at 1st Pressure</t>
  </si>
  <si>
    <t>Props at Selected s at 2nd Pressure</t>
  </si>
  <si>
    <t>Props at Selected s and Pressure</t>
  </si>
  <si>
    <t>Double-Interpolation for (P,h) Known</t>
  </si>
  <si>
    <t>h(Btu/lbm)</t>
  </si>
  <si>
    <t>h (Btu/lbm) from above</t>
  </si>
  <si>
    <t>Props at Selected h at 1st Pressure</t>
  </si>
  <si>
    <t>Props at Selected h at 2nd Pressure</t>
  </si>
  <si>
    <t>Props at Selected h and Pressure</t>
  </si>
  <si>
    <t>Define maximum v to plot to make dome look "nice"</t>
  </si>
  <si>
    <t>T-s Diagram</t>
  </si>
  <si>
    <t>Crit</t>
  </si>
  <si>
    <t>Preparation Table for Vapor Dome Graphics</t>
  </si>
  <si>
    <t>Lookup Work for Interpolating in Superheated Vapor Tables (SI Units)</t>
  </si>
  <si>
    <t>Properties for Saturated Liquid and Vapor Water and Superheated Steam Vapor</t>
  </si>
  <si>
    <t>file:  SteamTablesMoranAndShapiro.xlsx</t>
  </si>
  <si>
    <t>CAUTION:  Destination Cell for Copy/Paste MUST BE A4 to Preserve Formula Locations</t>
  </si>
  <si>
    <t>CAUTION:  Destination Cell for Copy/Paste MUST BE A55 to Preserve Formula Locations</t>
  </si>
  <si>
    <t>CAUTION:  Destination Cell for Copy/Paste MUST BE A106 to Preserve Formula Locations</t>
  </si>
  <si>
    <t>T (deg C)</t>
  </si>
  <si>
    <t>h(kJ/kg)</t>
  </si>
  <si>
    <t>h (kJ/kg) from above</t>
  </si>
  <si>
    <t>s (kJ/kg K) from above</t>
  </si>
  <si>
    <t>T (deg C) from above</t>
  </si>
  <si>
    <t>Saturation Properties (Temperature Table)</t>
  </si>
  <si>
    <t>Superheated Vapor Properties</t>
  </si>
  <si>
    <t>Saturation Properties (Pressure Table)</t>
  </si>
  <si>
    <t>Lookup Tool for Saturation Properties</t>
  </si>
  <si>
    <t>Lookup Tool for Superheated Vapor</t>
  </si>
  <si>
    <t>Vapor Dome Graphics Demo</t>
  </si>
  <si>
    <t>English</t>
  </si>
  <si>
    <t>SI</t>
  </si>
  <si>
    <t>P, Pressure (kPa)</t>
  </si>
  <si>
    <t>T, Temperature (deg C)</t>
  </si>
  <si>
    <t>v, specific volume (m^3/kg)</t>
  </si>
  <si>
    <t>u, specific internal energy (kJ/kg)</t>
  </si>
  <si>
    <t>h, specific enthalpy (kJ/kg)</t>
  </si>
  <si>
    <t>Learning Tool:  User Enters Two Independent Properties.</t>
  </si>
  <si>
    <r>
      <t>Tool Identifies H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O Phase, and Explains Why</t>
    </r>
  </si>
  <si>
    <t>User Enter Value</t>
  </si>
  <si>
    <t>User Selection</t>
  </si>
  <si>
    <t>First Prop:  T selected?</t>
  </si>
  <si>
    <t>This is the block to transfer to the user interface at top of tab.</t>
  </si>
  <si>
    <t>Value</t>
  </si>
  <si>
    <t>Second Prop:  P selected?</t>
  </si>
  <si>
    <t>P&gt;Psat?</t>
  </si>
  <si>
    <t>P=Psat?</t>
  </si>
  <si>
    <t>P&lt;Psat?</t>
  </si>
  <si>
    <t>Provide message to user</t>
  </si>
  <si>
    <t>Second Prop:  T selected?</t>
  </si>
  <si>
    <t>T&gt;Tsat?</t>
  </si>
  <si>
    <t>T&lt;Tsat?</t>
  </si>
  <si>
    <t>T=Tsat?</t>
  </si>
  <si>
    <t>Determine phase when T is selected first and P is selected second</t>
  </si>
  <si>
    <t>Determine phase when P is selected first and T is selected second</t>
  </si>
  <si>
    <t>Determine phase when P or T selected first and  v, u, or h is selected second</t>
  </si>
  <si>
    <t>Second Prop:  v, u, or h selected?</t>
  </si>
  <si>
    <t>value</t>
  </si>
  <si>
    <t>Prop Lookup "f"</t>
  </si>
  <si>
    <t>Prop Lookup "g"</t>
  </si>
  <si>
    <t>User Select Property 
(use drop-down)</t>
  </si>
  <si>
    <t>Prop is &lt; "f" prop?</t>
  </si>
  <si>
    <t>Prop = "f" prop?</t>
  </si>
  <si>
    <t>Prop = "g" prop?</t>
  </si>
  <si>
    <t>Prop is &gt; "g" prop?</t>
  </si>
  <si>
    <t>Prop is &gt; "f" and &lt; "g" props?</t>
  </si>
  <si>
    <t>Select Message to user (three possibilities)</t>
  </si>
  <si>
    <t>Compressed Liquid Detected. Provide message to user about property evaluation</t>
  </si>
  <si>
    <t>Compressed Liquid Detected?</t>
  </si>
  <si>
    <t>Saturation Properties for first selected property.</t>
  </si>
  <si>
    <t>Low-Temperature Detect and Message</t>
  </si>
  <si>
    <t>Temp?</t>
  </si>
  <si>
    <t xml:space="preserve"> Temp &lt;0.01?</t>
  </si>
  <si>
    <t>Detailed property lookups and phase-decision logic implemented below…</t>
  </si>
  <si>
    <t>x=</t>
  </si>
  <si>
    <t>quality, when defined</t>
  </si>
  <si>
    <t>Provide quality value to user?</t>
  </si>
  <si>
    <t>Saturation Properties as a Function of Pressure (linked to TemperatureSI) -- keys off the first property selected.  If pressure not selected, default value is 100.</t>
  </si>
  <si>
    <t>Saturation Properties as a Function of Temperature (linked to TemperatureSI) -- keys off the first property selected.  If temperature not selected, default value is 100.</t>
  </si>
  <si>
    <t>P,T Selection by User - first property to select</t>
  </si>
  <si>
    <t>P,T,v,u,h Selection by User - second property to select</t>
  </si>
  <si>
    <t>compr liq</t>
  </si>
  <si>
    <t>sat mix</t>
  </si>
  <si>
    <t>superheated</t>
  </si>
  <si>
    <t>sat liq</t>
  </si>
  <si>
    <t>sat vap</t>
  </si>
  <si>
    <t>Phase-Determination Learning Tool</t>
  </si>
  <si>
    <t>Legend for User Tools</t>
  </si>
  <si>
    <t>A yellow cell is a manual entry.  User enters this value.</t>
  </si>
  <si>
    <r>
      <t xml:space="preserve">A white cell is an Excel computation.  </t>
    </r>
    <r>
      <rPr>
        <b/>
        <sz val="12"/>
        <color theme="1"/>
        <rFont val="Arial"/>
        <family val="2"/>
      </rPr>
      <t>DO NOT MODIFY THESE CELLS.</t>
    </r>
  </si>
  <si>
    <t>Not all possible combinations are covered.  This is a starter kit for learning and practice.</t>
  </si>
  <si>
    <t>These property lookup rows can be copied-and-pasted to any A-column destination row.  Just keep all the computations in a row TOGETHER on the same row.</t>
  </si>
  <si>
    <t>CopyPaste the entire 49-row block to achieve functionality.</t>
  </si>
  <si>
    <t>SCROLL RIGHT for more graphics</t>
  </si>
  <si>
    <t>1 psia</t>
  </si>
  <si>
    <t>14.7 psia</t>
  </si>
  <si>
    <t>120 psia</t>
  </si>
  <si>
    <t>350 psia</t>
  </si>
  <si>
    <t>900 psia</t>
  </si>
  <si>
    <t>2000 psia</t>
  </si>
  <si>
    <t>Graphics Source for T-s diagram with P=constant lines</t>
  </si>
  <si>
    <t>T-s Diagram with Constant Pressure Lines (Isobars)</t>
  </si>
  <si>
    <t>T-s Diagram for H2O Saturation</t>
  </si>
  <si>
    <t>P-v Diagram for H2O Saturation</t>
  </si>
  <si>
    <t>P-v Diagram with Vapor Dome and Comparison to Pv=constant</t>
  </si>
  <si>
    <t>P1</t>
  </si>
  <si>
    <t>v1</t>
  </si>
  <si>
    <t>P1*v1</t>
  </si>
  <si>
    <t>vstop</t>
  </si>
  <si>
    <t>dv</t>
  </si>
  <si>
    <t>Label</t>
  </si>
  <si>
    <t>psia</t>
  </si>
  <si>
    <t>kPa</t>
  </si>
  <si>
    <t>Saturation Properties as a Function of hf (linked to TemperatureSI)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</si>
</sst>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"/>
    <numFmt numFmtId="166" formatCode="0.0000"/>
    <numFmt numFmtId="167" formatCode="0.0"/>
    <numFmt numFmtId="168" formatCode="0.00000"/>
  </numFmts>
  <fonts count="15" x14ac:knownFonts="1"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u/>
      <sz val="12"/>
      <color theme="10"/>
      <name val="Arial"/>
      <family val="2"/>
    </font>
    <font>
      <b/>
      <vertAlign val="subscript"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1" xfId="0" applyBorder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0" xfId="0" applyNumberFormat="1"/>
    <xf numFmtId="165" fontId="0" fillId="0" borderId="1" xfId="0" applyNumberFormat="1" applyBorder="1" applyAlignment="1">
      <alignment horizontal="center" wrapText="1"/>
    </xf>
    <xf numFmtId="0" fontId="1" fillId="0" borderId="0" xfId="0" applyFont="1"/>
    <xf numFmtId="167" fontId="0" fillId="0" borderId="0" xfId="0" applyNumberFormat="1"/>
    <xf numFmtId="167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8" fontId="0" fillId="0" borderId="0" xfId="0" applyNumberFormat="1"/>
    <xf numFmtId="168" fontId="0" fillId="0" borderId="1" xfId="0" applyNumberForma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165" fontId="0" fillId="0" borderId="5" xfId="0" applyNumberFormat="1" applyBorder="1"/>
    <xf numFmtId="167" fontId="0" fillId="0" borderId="5" xfId="0" applyNumberFormat="1" applyBorder="1"/>
    <xf numFmtId="166" fontId="0" fillId="0" borderId="6" xfId="0" applyNumberFormat="1" applyBorder="1"/>
    <xf numFmtId="0" fontId="0" fillId="0" borderId="0" xfId="0" applyBorder="1"/>
    <xf numFmtId="165" fontId="0" fillId="0" borderId="0" xfId="0" applyNumberFormat="1" applyBorder="1"/>
    <xf numFmtId="167" fontId="0" fillId="0" borderId="0" xfId="0" applyNumberFormat="1" applyBorder="1"/>
    <xf numFmtId="166" fontId="0" fillId="0" borderId="7" xfId="0" applyNumberFormat="1" applyBorder="1"/>
    <xf numFmtId="0" fontId="0" fillId="0" borderId="8" xfId="0" applyBorder="1"/>
    <xf numFmtId="165" fontId="0" fillId="0" borderId="8" xfId="0" applyNumberFormat="1" applyBorder="1"/>
    <xf numFmtId="167" fontId="0" fillId="0" borderId="8" xfId="0" applyNumberFormat="1" applyBorder="1"/>
    <xf numFmtId="166" fontId="0" fillId="0" borderId="9" xfId="0" applyNumberFormat="1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165" fontId="0" fillId="0" borderId="1" xfId="0" applyNumberFormat="1" applyBorder="1"/>
    <xf numFmtId="167" fontId="0" fillId="0" borderId="1" xfId="0" applyNumberFormat="1" applyBorder="1"/>
    <xf numFmtId="166" fontId="0" fillId="0" borderId="1" xfId="0" applyNumberFormat="1" applyBorder="1"/>
    <xf numFmtId="0" fontId="0" fillId="3" borderId="1" xfId="0" applyFill="1" applyBorder="1"/>
    <xf numFmtId="168" fontId="0" fillId="0" borderId="1" xfId="0" applyNumberFormat="1" applyBorder="1"/>
    <xf numFmtId="0" fontId="2" fillId="0" borderId="0" xfId="0" applyFont="1"/>
    <xf numFmtId="0" fontId="0" fillId="0" borderId="0" xfId="0" applyAlignment="1">
      <alignment horizontal="center" wrapText="1"/>
    </xf>
    <xf numFmtId="166" fontId="0" fillId="3" borderId="1" xfId="0" applyNumberFormat="1" applyFill="1" applyBorder="1"/>
    <xf numFmtId="0" fontId="0" fillId="0" borderId="1" xfId="0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1" fontId="0" fillId="0" borderId="1" xfId="0" applyNumberForma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0" fillId="2" borderId="1" xfId="0" applyFill="1" applyBorder="1"/>
    <xf numFmtId="166" fontId="0" fillId="0" borderId="0" xfId="0" applyNumberFormat="1" applyBorder="1" applyAlignment="1">
      <alignment horizontal="center" wrapText="1"/>
    </xf>
    <xf numFmtId="164" fontId="0" fillId="0" borderId="1" xfId="0" applyNumberFormat="1" applyBorder="1"/>
    <xf numFmtId="2" fontId="0" fillId="3" borderId="1" xfId="0" applyNumberFormat="1" applyFill="1" applyBorder="1"/>
    <xf numFmtId="2" fontId="0" fillId="0" borderId="1" xfId="0" applyNumberFormat="1" applyBorder="1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2" borderId="14" xfId="0" applyFill="1" applyBorder="1" applyAlignment="1">
      <alignment wrapText="1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3" xfId="0" applyFont="1" applyFill="1" applyBorder="1"/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6" xfId="0" applyBorder="1"/>
    <xf numFmtId="2" fontId="0" fillId="4" borderId="1" xfId="0" applyNumberFormat="1" applyFill="1" applyBorder="1"/>
    <xf numFmtId="168" fontId="0" fillId="4" borderId="1" xfId="0" applyNumberFormat="1" applyFill="1" applyBorder="1"/>
    <xf numFmtId="166" fontId="0" fillId="4" borderId="1" xfId="0" applyNumberFormat="1" applyFill="1" applyBorder="1"/>
    <xf numFmtId="0" fontId="0" fillId="0" borderId="10" xfId="0" applyBorder="1"/>
    <xf numFmtId="0" fontId="0" fillId="4" borderId="1" xfId="0" applyFill="1" applyBorder="1"/>
    <xf numFmtId="0" fontId="0" fillId="0" borderId="0" xfId="0" applyBorder="1" applyAlignment="1">
      <alignment horizontal="right"/>
    </xf>
    <xf numFmtId="0" fontId="0" fillId="3" borderId="4" xfId="0" applyFill="1" applyBorder="1"/>
    <xf numFmtId="166" fontId="0" fillId="0" borderId="1" xfId="0" applyNumberFormat="1" applyBorder="1" applyAlignment="1">
      <alignment horizontal="left"/>
    </xf>
    <xf numFmtId="166" fontId="0" fillId="0" borderId="13" xfId="0" applyNumberFormat="1" applyBorder="1"/>
    <xf numFmtId="166" fontId="0" fillId="0" borderId="15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168" fontId="0" fillId="3" borderId="1" xfId="0" applyNumberFormat="1" applyFill="1" applyBorder="1"/>
    <xf numFmtId="0" fontId="2" fillId="2" borderId="11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14" xfId="0" applyBorder="1"/>
    <xf numFmtId="0" fontId="0" fillId="0" borderId="15" xfId="0" applyBorder="1"/>
    <xf numFmtId="0" fontId="5" fillId="2" borderId="13" xfId="0" applyFont="1" applyFill="1" applyBorder="1"/>
    <xf numFmtId="0" fontId="1" fillId="0" borderId="1" xfId="0" applyFont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6" fillId="3" borderId="1" xfId="0" applyFont="1" applyFill="1" applyBorder="1"/>
    <xf numFmtId="0" fontId="4" fillId="3" borderId="1" xfId="0" applyFont="1" applyFill="1" applyBorder="1"/>
    <xf numFmtId="0" fontId="2" fillId="0" borderId="1" xfId="0" applyFont="1" applyBorder="1" applyAlignment="1">
      <alignment horizontal="right"/>
    </xf>
    <xf numFmtId="0" fontId="0" fillId="0" borderId="13" xfId="0" applyBorder="1"/>
    <xf numFmtId="0" fontId="0" fillId="0" borderId="1" xfId="0" applyBorder="1" applyAlignment="1">
      <alignment horizontal="right"/>
    </xf>
    <xf numFmtId="2" fontId="0" fillId="0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0" borderId="0" xfId="0" applyBorder="1" applyAlignment="1">
      <alignment horizontal="center" wrapText="1"/>
    </xf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/>
    <xf numFmtId="0" fontId="4" fillId="0" borderId="0" xfId="0" applyFont="1" applyAlignment="1">
      <alignment horizontal="center" wrapText="1"/>
    </xf>
    <xf numFmtId="0" fontId="0" fillId="0" borderId="1" xfId="0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4" fillId="2" borderId="14" xfId="0" applyFont="1" applyFill="1" applyBorder="1"/>
    <xf numFmtId="0" fontId="4" fillId="2" borderId="15" xfId="0" applyFont="1" applyFill="1" applyBorder="1"/>
    <xf numFmtId="0" fontId="6" fillId="0" borderId="1" xfId="0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/>
    <xf numFmtId="164" fontId="6" fillId="0" borderId="1" xfId="0" applyNumberFormat="1" applyFont="1" applyBorder="1"/>
    <xf numFmtId="166" fontId="6" fillId="0" borderId="1" xfId="0" applyNumberFormat="1" applyFont="1" applyBorder="1"/>
    <xf numFmtId="167" fontId="6" fillId="0" borderId="1" xfId="0" applyNumberFormat="1" applyFont="1" applyBorder="1"/>
    <xf numFmtId="0" fontId="2" fillId="2" borderId="13" xfId="0" applyFont="1" applyFill="1" applyBorder="1" applyAlignment="1">
      <alignment horizontal="left"/>
    </xf>
    <xf numFmtId="0" fontId="0" fillId="4" borderId="1" xfId="0" applyFill="1" applyBorder="1" applyAlignment="1"/>
    <xf numFmtId="0" fontId="0" fillId="0" borderId="4" xfId="0" applyBorder="1" applyAlignment="1">
      <alignment horizontal="center" wrapText="1"/>
    </xf>
    <xf numFmtId="0" fontId="1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3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/>
    <xf numFmtId="0" fontId="13" fillId="0" borderId="1" xfId="0" applyFont="1" applyBorder="1"/>
    <xf numFmtId="0" fontId="1" fillId="0" borderId="12" xfId="0" applyFont="1" applyBorder="1"/>
    <xf numFmtId="0" fontId="13" fillId="0" borderId="5" xfId="0" applyFont="1" applyBorder="1"/>
    <xf numFmtId="0" fontId="0" fillId="0" borderId="11" xfId="0" applyBorder="1"/>
    <xf numFmtId="0" fontId="13" fillId="0" borderId="8" xfId="0" applyFont="1" applyBorder="1"/>
    <xf numFmtId="0" fontId="1" fillId="5" borderId="13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14" fillId="2" borderId="13" xfId="0" applyFont="1" applyFill="1" applyBorder="1"/>
    <xf numFmtId="0" fontId="0" fillId="0" borderId="15" xfId="0" applyBorder="1" applyAlignment="1">
      <alignment horizontal="right"/>
    </xf>
    <xf numFmtId="166" fontId="0" fillId="0" borderId="4" xfId="0" applyNumberFormat="1" applyBorder="1"/>
    <xf numFmtId="165" fontId="0" fillId="0" borderId="4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6" fontId="0" fillId="0" borderId="4" xfId="0" applyNumberFormat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/>
    <xf numFmtId="0" fontId="2" fillId="0" borderId="0" xfId="0" applyFont="1" applyBorder="1"/>
  </cellXfs>
  <cellStyles count="2">
    <cellStyle name="Hyperlink" xfId="1" builtinId="8"/>
    <cellStyle name="Normal" xfId="0" builtinId="0"/>
  </cellStyles>
  <dxfs count="12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VaporDome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GraphicsEnglish!$H$44:$H$184</c:f>
              <c:numCache>
                <c:formatCode>0.00000</c:formatCode>
                <c:ptCount val="141"/>
                <c:pt idx="0">
                  <c:v>1.6060000000000001E-2</c:v>
                </c:pt>
                <c:pt idx="1">
                  <c:v>1.609E-2</c:v>
                </c:pt>
                <c:pt idx="2">
                  <c:v>1.6109999999999999E-2</c:v>
                </c:pt>
                <c:pt idx="3">
                  <c:v>1.6140000000000002E-2</c:v>
                </c:pt>
                <c:pt idx="4">
                  <c:v>1.6160000000000001E-2</c:v>
                </c:pt>
                <c:pt idx="5">
                  <c:v>1.619E-2</c:v>
                </c:pt>
                <c:pt idx="6">
                  <c:v>1.6230000000000001E-2</c:v>
                </c:pt>
                <c:pt idx="7">
                  <c:v>1.6299999999999999E-2</c:v>
                </c:pt>
                <c:pt idx="8">
                  <c:v>1.636E-2</c:v>
                </c:pt>
                <c:pt idx="9">
                  <c:v>1.6410000000000001E-2</c:v>
                </c:pt>
                <c:pt idx="10">
                  <c:v>1.6449999999999999E-2</c:v>
                </c:pt>
                <c:pt idx="11">
                  <c:v>1.6490000000000001E-2</c:v>
                </c:pt>
                <c:pt idx="12">
                  <c:v>1.653E-2</c:v>
                </c:pt>
                <c:pt idx="13">
                  <c:v>1.6559999999999998E-2</c:v>
                </c:pt>
                <c:pt idx="14">
                  <c:v>1.6590000000000001E-2</c:v>
                </c:pt>
                <c:pt idx="15">
                  <c:v>1.6719999999999999E-2</c:v>
                </c:pt>
                <c:pt idx="16">
                  <c:v>1.6719999999999999E-2</c:v>
                </c:pt>
                <c:pt idx="17">
                  <c:v>1.6830000000000001E-2</c:v>
                </c:pt>
                <c:pt idx="18">
                  <c:v>1.6920000000000001E-2</c:v>
                </c:pt>
                <c:pt idx="19">
                  <c:v>1.7000000000000001E-2</c:v>
                </c:pt>
                <c:pt idx="20">
                  <c:v>1.7080000000000001E-2</c:v>
                </c:pt>
                <c:pt idx="21">
                  <c:v>1.7149999999999999E-2</c:v>
                </c:pt>
                <c:pt idx="22">
                  <c:v>1.721E-2</c:v>
                </c:pt>
                <c:pt idx="23">
                  <c:v>1.7270000000000001E-2</c:v>
                </c:pt>
                <c:pt idx="24">
                  <c:v>1.7330000000000002E-2</c:v>
                </c:pt>
                <c:pt idx="25">
                  <c:v>1.738E-2</c:v>
                </c:pt>
                <c:pt idx="26">
                  <c:v>1.7430000000000001E-2</c:v>
                </c:pt>
                <c:pt idx="27">
                  <c:v>1.7479999999999999E-2</c:v>
                </c:pt>
                <c:pt idx="28">
                  <c:v>1.7520000000000001E-2</c:v>
                </c:pt>
                <c:pt idx="29">
                  <c:v>1.7569999999999999E-2</c:v>
                </c:pt>
                <c:pt idx="30">
                  <c:v>1.7610000000000001E-2</c:v>
                </c:pt>
                <c:pt idx="31">
                  <c:v>1.7659999999999999E-2</c:v>
                </c:pt>
                <c:pt idx="32">
                  <c:v>1.77E-2</c:v>
                </c:pt>
                <c:pt idx="33">
                  <c:v>1.7739999999999999E-2</c:v>
                </c:pt>
                <c:pt idx="34">
                  <c:v>1.7809999999999999E-2</c:v>
                </c:pt>
                <c:pt idx="35">
                  <c:v>1.789E-2</c:v>
                </c:pt>
                <c:pt idx="36">
                  <c:v>1.796E-2</c:v>
                </c:pt>
                <c:pt idx="37">
                  <c:v>1.8020000000000001E-2</c:v>
                </c:pt>
                <c:pt idx="38">
                  <c:v>1.8089999999999998E-2</c:v>
                </c:pt>
                <c:pt idx="39">
                  <c:v>1.8149999999999999E-2</c:v>
                </c:pt>
                <c:pt idx="40">
                  <c:v>1.821E-2</c:v>
                </c:pt>
                <c:pt idx="41">
                  <c:v>1.8270000000000002E-2</c:v>
                </c:pt>
                <c:pt idx="42">
                  <c:v>1.8329999999999999E-2</c:v>
                </c:pt>
                <c:pt idx="43">
                  <c:v>1.839E-2</c:v>
                </c:pt>
                <c:pt idx="44">
                  <c:v>1.865E-2</c:v>
                </c:pt>
                <c:pt idx="45">
                  <c:v>1.89E-2</c:v>
                </c:pt>
                <c:pt idx="46">
                  <c:v>1.9120000000000002E-2</c:v>
                </c:pt>
                <c:pt idx="47">
                  <c:v>1.934E-2</c:v>
                </c:pt>
                <c:pt idx="48">
                  <c:v>1.9550000000000001E-2</c:v>
                </c:pt>
                <c:pt idx="49">
                  <c:v>1.975E-2</c:v>
                </c:pt>
                <c:pt idx="50">
                  <c:v>1.9939999999999999E-2</c:v>
                </c:pt>
                <c:pt idx="51">
                  <c:v>2.0129999999999999E-2</c:v>
                </c:pt>
                <c:pt idx="52">
                  <c:v>2.051E-2</c:v>
                </c:pt>
                <c:pt idx="53">
                  <c:v>2.087E-2</c:v>
                </c:pt>
                <c:pt idx="54">
                  <c:v>2.1229999999999999E-2</c:v>
                </c:pt>
                <c:pt idx="55">
                  <c:v>2.1590000000000002E-2</c:v>
                </c:pt>
                <c:pt idx="56">
                  <c:v>2.1950000000000001E-2</c:v>
                </c:pt>
                <c:pt idx="57">
                  <c:v>2.232E-2</c:v>
                </c:pt>
                <c:pt idx="58">
                  <c:v>2.2689999999999998E-2</c:v>
                </c:pt>
                <c:pt idx="59">
                  <c:v>2.307E-2</c:v>
                </c:pt>
                <c:pt idx="60">
                  <c:v>2.3460000000000002E-2</c:v>
                </c:pt>
                <c:pt idx="61">
                  <c:v>2.3859999999999999E-2</c:v>
                </c:pt>
                <c:pt idx="62">
                  <c:v>2.4279999999999999E-2</c:v>
                </c:pt>
                <c:pt idx="63">
                  <c:v>2.4719999999999999E-2</c:v>
                </c:pt>
                <c:pt idx="64">
                  <c:v>2.5170000000000001E-2</c:v>
                </c:pt>
                <c:pt idx="65">
                  <c:v>2.5649999999999999E-2</c:v>
                </c:pt>
                <c:pt idx="66">
                  <c:v>2.6980000000000001E-2</c:v>
                </c:pt>
                <c:pt idx="67">
                  <c:v>2.86E-2</c:v>
                </c:pt>
                <c:pt idx="68">
                  <c:v>3.0769999999999999E-2</c:v>
                </c:pt>
                <c:pt idx="69">
                  <c:v>3.431E-2</c:v>
                </c:pt>
                <c:pt idx="70">
                  <c:v>5.0529999999999999E-2</c:v>
                </c:pt>
                <c:pt idx="71">
                  <c:v>8.4000000000000005E-2</c:v>
                </c:pt>
                <c:pt idx="72">
                  <c:v>0.107</c:v>
                </c:pt>
                <c:pt idx="73">
                  <c:v>0.13100000000000001</c:v>
                </c:pt>
                <c:pt idx="74">
                  <c:v>0.157</c:v>
                </c:pt>
                <c:pt idx="75">
                  <c:v>0.188</c:v>
                </c:pt>
                <c:pt idx="76">
                  <c:v>0.20300000000000001</c:v>
                </c:pt>
                <c:pt idx="77">
                  <c:v>0.218</c:v>
                </c:pt>
                <c:pt idx="78">
                  <c:v>0.23599999999999999</c:v>
                </c:pt>
                <c:pt idx="79">
                  <c:v>0.255</c:v>
                </c:pt>
                <c:pt idx="80">
                  <c:v>0.27700000000000002</c:v>
                </c:pt>
                <c:pt idx="81">
                  <c:v>0.30199999999999999</c:v>
                </c:pt>
                <c:pt idx="82">
                  <c:v>0.33</c:v>
                </c:pt>
                <c:pt idx="83">
                  <c:v>0.36199999999999999</c:v>
                </c:pt>
                <c:pt idx="84">
                  <c:v>0.40100000000000002</c:v>
                </c:pt>
                <c:pt idx="85">
                  <c:v>0.44600000000000001</c:v>
                </c:pt>
                <c:pt idx="86">
                  <c:v>0.501</c:v>
                </c:pt>
                <c:pt idx="87">
                  <c:v>0.56899999999999995</c:v>
                </c:pt>
                <c:pt idx="88">
                  <c:v>0.65600000000000003</c:v>
                </c:pt>
                <c:pt idx="89">
                  <c:v>0.77</c:v>
                </c:pt>
                <c:pt idx="90">
                  <c:v>0.84199999999999997</c:v>
                </c:pt>
                <c:pt idx="91">
                  <c:v>0.92800000000000005</c:v>
                </c:pt>
                <c:pt idx="92">
                  <c:v>1.0329999999999999</c:v>
                </c:pt>
                <c:pt idx="93">
                  <c:v>1.1619999999999999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</c:numCache>
            </c:numRef>
          </c:xVal>
          <c:yVal>
            <c:numRef>
              <c:f>GraphicsEnglish!$B$44:$B$184</c:f>
              <c:numCache>
                <c:formatCode>0.0</c:formatCode>
                <c:ptCount val="14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 formatCode="General">
                  <c:v>14.696</c:v>
                </c:pt>
                <c:pt idx="16" formatCode="General">
                  <c:v>15</c:v>
                </c:pt>
                <c:pt idx="17" formatCode="General">
                  <c:v>20</c:v>
                </c:pt>
                <c:pt idx="18" formatCode="General">
                  <c:v>25</c:v>
                </c:pt>
                <c:pt idx="19" formatCode="General">
                  <c:v>30</c:v>
                </c:pt>
                <c:pt idx="20" formatCode="General">
                  <c:v>35</c:v>
                </c:pt>
                <c:pt idx="21" formatCode="General">
                  <c:v>40</c:v>
                </c:pt>
                <c:pt idx="22" formatCode="General">
                  <c:v>45</c:v>
                </c:pt>
                <c:pt idx="23" formatCode="General">
                  <c:v>50</c:v>
                </c:pt>
                <c:pt idx="24" formatCode="General">
                  <c:v>55</c:v>
                </c:pt>
                <c:pt idx="25" formatCode="General">
                  <c:v>60</c:v>
                </c:pt>
                <c:pt idx="26" formatCode="General">
                  <c:v>65</c:v>
                </c:pt>
                <c:pt idx="27" formatCode="General">
                  <c:v>70</c:v>
                </c:pt>
                <c:pt idx="28" formatCode="General">
                  <c:v>75</c:v>
                </c:pt>
                <c:pt idx="29" formatCode="General">
                  <c:v>80</c:v>
                </c:pt>
                <c:pt idx="30" formatCode="General">
                  <c:v>85</c:v>
                </c:pt>
                <c:pt idx="31" formatCode="General">
                  <c:v>90</c:v>
                </c:pt>
                <c:pt idx="32" formatCode="General">
                  <c:v>95</c:v>
                </c:pt>
                <c:pt idx="33" formatCode="General">
                  <c:v>100</c:v>
                </c:pt>
                <c:pt idx="34" formatCode="General">
                  <c:v>110</c:v>
                </c:pt>
                <c:pt idx="35" formatCode="General">
                  <c:v>120</c:v>
                </c:pt>
                <c:pt idx="36" formatCode="General">
                  <c:v>130</c:v>
                </c:pt>
                <c:pt idx="37" formatCode="General">
                  <c:v>140</c:v>
                </c:pt>
                <c:pt idx="38" formatCode="General">
                  <c:v>150</c:v>
                </c:pt>
                <c:pt idx="39" formatCode="General">
                  <c:v>160</c:v>
                </c:pt>
                <c:pt idx="40" formatCode="General">
                  <c:v>170</c:v>
                </c:pt>
                <c:pt idx="41" formatCode="General">
                  <c:v>180</c:v>
                </c:pt>
                <c:pt idx="42" formatCode="General">
                  <c:v>190</c:v>
                </c:pt>
                <c:pt idx="43" formatCode="General">
                  <c:v>200</c:v>
                </c:pt>
                <c:pt idx="44" formatCode="General">
                  <c:v>250</c:v>
                </c:pt>
                <c:pt idx="45" formatCode="General">
                  <c:v>300</c:v>
                </c:pt>
                <c:pt idx="46" formatCode="General">
                  <c:v>350</c:v>
                </c:pt>
                <c:pt idx="47" formatCode="General">
                  <c:v>400</c:v>
                </c:pt>
                <c:pt idx="48" formatCode="General">
                  <c:v>450</c:v>
                </c:pt>
                <c:pt idx="49" formatCode="General">
                  <c:v>500</c:v>
                </c:pt>
                <c:pt idx="50" formatCode="General">
                  <c:v>550</c:v>
                </c:pt>
                <c:pt idx="51" formatCode="General">
                  <c:v>600</c:v>
                </c:pt>
                <c:pt idx="52" formatCode="General">
                  <c:v>700</c:v>
                </c:pt>
                <c:pt idx="53" formatCode="General">
                  <c:v>800</c:v>
                </c:pt>
                <c:pt idx="54" formatCode="General">
                  <c:v>900</c:v>
                </c:pt>
                <c:pt idx="55" formatCode="General">
                  <c:v>1000</c:v>
                </c:pt>
                <c:pt idx="56" formatCode="General">
                  <c:v>1100</c:v>
                </c:pt>
                <c:pt idx="57" formatCode="General">
                  <c:v>1200</c:v>
                </c:pt>
                <c:pt idx="58" formatCode="General">
                  <c:v>1300</c:v>
                </c:pt>
                <c:pt idx="59" formatCode="General">
                  <c:v>1400</c:v>
                </c:pt>
                <c:pt idx="60" formatCode="General">
                  <c:v>1500</c:v>
                </c:pt>
                <c:pt idx="61" formatCode="General">
                  <c:v>1600</c:v>
                </c:pt>
                <c:pt idx="62" formatCode="General">
                  <c:v>1700</c:v>
                </c:pt>
                <c:pt idx="63" formatCode="General">
                  <c:v>1800</c:v>
                </c:pt>
                <c:pt idx="64" formatCode="General">
                  <c:v>1900</c:v>
                </c:pt>
                <c:pt idx="65" formatCode="General">
                  <c:v>2000</c:v>
                </c:pt>
                <c:pt idx="66" formatCode="General">
                  <c:v>2250</c:v>
                </c:pt>
                <c:pt idx="67" formatCode="General">
                  <c:v>2500</c:v>
                </c:pt>
                <c:pt idx="68" formatCode="General">
                  <c:v>2750</c:v>
                </c:pt>
                <c:pt idx="69" formatCode="General">
                  <c:v>3000</c:v>
                </c:pt>
                <c:pt idx="70" formatCode="General">
                  <c:v>3203.6</c:v>
                </c:pt>
                <c:pt idx="71" formatCode="General">
                  <c:v>3000</c:v>
                </c:pt>
                <c:pt idx="72" formatCode="General">
                  <c:v>2750</c:v>
                </c:pt>
                <c:pt idx="73" formatCode="General">
                  <c:v>2500</c:v>
                </c:pt>
                <c:pt idx="74" formatCode="General">
                  <c:v>2250</c:v>
                </c:pt>
                <c:pt idx="75" formatCode="General">
                  <c:v>2000</c:v>
                </c:pt>
                <c:pt idx="76" formatCode="General">
                  <c:v>1900</c:v>
                </c:pt>
                <c:pt idx="77" formatCode="General">
                  <c:v>1800</c:v>
                </c:pt>
                <c:pt idx="78" formatCode="General">
                  <c:v>1700</c:v>
                </c:pt>
                <c:pt idx="79" formatCode="General">
                  <c:v>1600</c:v>
                </c:pt>
                <c:pt idx="80" formatCode="General">
                  <c:v>1500</c:v>
                </c:pt>
                <c:pt idx="81" formatCode="General">
                  <c:v>1400</c:v>
                </c:pt>
                <c:pt idx="82" formatCode="General">
                  <c:v>1300</c:v>
                </c:pt>
                <c:pt idx="83" formatCode="General">
                  <c:v>1200</c:v>
                </c:pt>
                <c:pt idx="84" formatCode="General">
                  <c:v>1100</c:v>
                </c:pt>
                <c:pt idx="85" formatCode="General">
                  <c:v>1000</c:v>
                </c:pt>
                <c:pt idx="86" formatCode="General">
                  <c:v>900</c:v>
                </c:pt>
                <c:pt idx="87" formatCode="General">
                  <c:v>800</c:v>
                </c:pt>
                <c:pt idx="88" formatCode="General">
                  <c:v>700</c:v>
                </c:pt>
                <c:pt idx="89" formatCode="General">
                  <c:v>600</c:v>
                </c:pt>
                <c:pt idx="90" formatCode="General">
                  <c:v>550</c:v>
                </c:pt>
                <c:pt idx="91" formatCode="General">
                  <c:v>500</c:v>
                </c:pt>
                <c:pt idx="92" formatCode="General">
                  <c:v>450</c:v>
                </c:pt>
                <c:pt idx="93" formatCode="General">
                  <c:v>400</c:v>
                </c:pt>
                <c:pt idx="94" formatCode="General">
                  <c:v>350</c:v>
                </c:pt>
                <c:pt idx="95" formatCode="General">
                  <c:v>300</c:v>
                </c:pt>
                <c:pt idx="96" formatCode="General">
                  <c:v>250</c:v>
                </c:pt>
                <c:pt idx="97" formatCode="General">
                  <c:v>200</c:v>
                </c:pt>
                <c:pt idx="98" formatCode="General">
                  <c:v>190</c:v>
                </c:pt>
                <c:pt idx="99" formatCode="General">
                  <c:v>180</c:v>
                </c:pt>
                <c:pt idx="100" formatCode="General">
                  <c:v>170</c:v>
                </c:pt>
                <c:pt idx="101" formatCode="General">
                  <c:v>160</c:v>
                </c:pt>
                <c:pt idx="102" formatCode="General">
                  <c:v>150</c:v>
                </c:pt>
                <c:pt idx="103" formatCode="General">
                  <c:v>140</c:v>
                </c:pt>
                <c:pt idx="104" formatCode="General">
                  <c:v>130</c:v>
                </c:pt>
                <c:pt idx="105" formatCode="General">
                  <c:v>120</c:v>
                </c:pt>
                <c:pt idx="106" formatCode="General">
                  <c:v>110</c:v>
                </c:pt>
                <c:pt idx="107" formatCode="General">
                  <c:v>100</c:v>
                </c:pt>
                <c:pt idx="108" formatCode="General">
                  <c:v>95</c:v>
                </c:pt>
                <c:pt idx="109" formatCode="General">
                  <c:v>90</c:v>
                </c:pt>
                <c:pt idx="110" formatCode="General">
                  <c:v>85</c:v>
                </c:pt>
                <c:pt idx="111" formatCode="General">
                  <c:v>80</c:v>
                </c:pt>
                <c:pt idx="112" formatCode="General">
                  <c:v>75</c:v>
                </c:pt>
                <c:pt idx="113" formatCode="General">
                  <c:v>70</c:v>
                </c:pt>
                <c:pt idx="114" formatCode="General">
                  <c:v>65</c:v>
                </c:pt>
                <c:pt idx="115" formatCode="General">
                  <c:v>60</c:v>
                </c:pt>
                <c:pt idx="116" formatCode="General">
                  <c:v>55</c:v>
                </c:pt>
                <c:pt idx="117" formatCode="General">
                  <c:v>50</c:v>
                </c:pt>
                <c:pt idx="118" formatCode="General">
                  <c:v>45</c:v>
                </c:pt>
                <c:pt idx="119" formatCode="General">
                  <c:v>40</c:v>
                </c:pt>
                <c:pt idx="120" formatCode="General">
                  <c:v>35</c:v>
                </c:pt>
                <c:pt idx="121" formatCode="General">
                  <c:v>30</c:v>
                </c:pt>
                <c:pt idx="122" formatCode="General">
                  <c:v>25</c:v>
                </c:pt>
                <c:pt idx="123" formatCode="General">
                  <c:v>20</c:v>
                </c:pt>
                <c:pt idx="124" formatCode="General">
                  <c:v>15</c:v>
                </c:pt>
                <c:pt idx="125" formatCode="General">
                  <c:v>14.696</c:v>
                </c:pt>
                <c:pt idx="126" formatCode="General">
                  <c:v>10</c:v>
                </c:pt>
                <c:pt idx="127" formatCode="General">
                  <c:v>9</c:v>
                </c:pt>
                <c:pt idx="128" formatCode="General">
                  <c:v>8</c:v>
                </c:pt>
                <c:pt idx="129" formatCode="General">
                  <c:v>7</c:v>
                </c:pt>
                <c:pt idx="130" formatCode="General">
                  <c:v>6</c:v>
                </c:pt>
                <c:pt idx="131" formatCode="General">
                  <c:v>5</c:v>
                </c:pt>
                <c:pt idx="132" formatCode="General">
                  <c:v>4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1.5</c:v>
                </c:pt>
                <c:pt idx="136" formatCode="General">
                  <c:v>1.2</c:v>
                </c:pt>
                <c:pt idx="137" formatCode="General">
                  <c:v>1</c:v>
                </c:pt>
                <c:pt idx="138" formatCode="General">
                  <c:v>0.8</c:v>
                </c:pt>
                <c:pt idx="139" formatCode="General">
                  <c:v>0.6</c:v>
                </c:pt>
                <c:pt idx="140" formatCode="General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7280"/>
        <c:axId val="224129024"/>
      </c:scatterChart>
      <c:valAx>
        <c:axId val="20905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Volume (cuft/lbm)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224129024"/>
        <c:crosses val="autoZero"/>
        <c:crossBetween val="midCat"/>
      </c:valAx>
      <c:valAx>
        <c:axId val="22412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(psia)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90572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VaporDome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GraphicsEnglish!$K$45:$K$205</c:f>
              <c:numCache>
                <c:formatCode>0.00000</c:formatCode>
                <c:ptCount val="161"/>
                <c:pt idx="0">
                  <c:v>2.1764000000000001</c:v>
                </c:pt>
                <c:pt idx="1">
                  <c:v>2.1591999999999998</c:v>
                </c:pt>
                <c:pt idx="2">
                  <c:v>2.1423000000000001</c:v>
                </c:pt>
                <c:pt idx="3">
                  <c:v>2.1259000000000001</c:v>
                </c:pt>
                <c:pt idx="4">
                  <c:v>2.1194999999999999</c:v>
                </c:pt>
                <c:pt idx="5">
                  <c:v>2.1131000000000002</c:v>
                </c:pt>
                <c:pt idx="6">
                  <c:v>2.1067999999999998</c:v>
                </c:pt>
                <c:pt idx="7">
                  <c:v>2.1004999999999998</c:v>
                </c:pt>
                <c:pt idx="8">
                  <c:v>2.0943000000000001</c:v>
                </c:pt>
                <c:pt idx="9">
                  <c:v>2.0882000000000001</c:v>
                </c:pt>
                <c:pt idx="10">
                  <c:v>2.0821000000000001</c:v>
                </c:pt>
                <c:pt idx="11">
                  <c:v>2.0760999999999998</c:v>
                </c:pt>
                <c:pt idx="12">
                  <c:v>2.0701000000000001</c:v>
                </c:pt>
                <c:pt idx="13">
                  <c:v>2.0642</c:v>
                </c:pt>
                <c:pt idx="14">
                  <c:v>2.0583999999999998</c:v>
                </c:pt>
                <c:pt idx="15">
                  <c:v>2.0526</c:v>
                </c:pt>
                <c:pt idx="16">
                  <c:v>2.0468999999999999</c:v>
                </c:pt>
                <c:pt idx="17">
                  <c:v>2.0411999999999999</c:v>
                </c:pt>
                <c:pt idx="18">
                  <c:v>2.0356000000000001</c:v>
                </c:pt>
                <c:pt idx="19">
                  <c:v>2.0299999999999998</c:v>
                </c:pt>
                <c:pt idx="20">
                  <c:v>2.0245000000000002</c:v>
                </c:pt>
                <c:pt idx="21">
                  <c:v>2.0190000000000001</c:v>
                </c:pt>
                <c:pt idx="22">
                  <c:v>2.0135999999999998</c:v>
                </c:pt>
                <c:pt idx="23">
                  <c:v>2.0083000000000002</c:v>
                </c:pt>
                <c:pt idx="24">
                  <c:v>2.0030000000000001</c:v>
                </c:pt>
                <c:pt idx="25">
                  <c:v>1.9977</c:v>
                </c:pt>
                <c:pt idx="26">
                  <c:v>1.9924999999999999</c:v>
                </c:pt>
                <c:pt idx="27">
                  <c:v>1.9874000000000001</c:v>
                </c:pt>
                <c:pt idx="28">
                  <c:v>1.9822</c:v>
                </c:pt>
                <c:pt idx="29">
                  <c:v>1.9574</c:v>
                </c:pt>
                <c:pt idx="30">
                  <c:v>1.9336</c:v>
                </c:pt>
                <c:pt idx="31">
                  <c:v>1.9109</c:v>
                </c:pt>
                <c:pt idx="32">
                  <c:v>1.8892</c:v>
                </c:pt>
                <c:pt idx="33">
                  <c:v>1.8684000000000001</c:v>
                </c:pt>
                <c:pt idx="34">
                  <c:v>1.8484</c:v>
                </c:pt>
                <c:pt idx="35">
                  <c:v>1.8292999999999999</c:v>
                </c:pt>
                <c:pt idx="36">
                  <c:v>1.8109</c:v>
                </c:pt>
                <c:pt idx="37">
                  <c:v>1.7931999999999999</c:v>
                </c:pt>
                <c:pt idx="38">
                  <c:v>1.7762</c:v>
                </c:pt>
                <c:pt idx="39">
                  <c:v>1.7599</c:v>
                </c:pt>
                <c:pt idx="40">
                  <c:v>1.7566999999999999</c:v>
                </c:pt>
                <c:pt idx="41">
                  <c:v>1.7441</c:v>
                </c:pt>
                <c:pt idx="42">
                  <c:v>1.7289000000000001</c:v>
                </c:pt>
                <c:pt idx="43">
                  <c:v>1.7142999999999999</c:v>
                </c:pt>
                <c:pt idx="44">
                  <c:v>1.7000999999999999</c:v>
                </c:pt>
                <c:pt idx="45">
                  <c:v>1.6863999999999999</c:v>
                </c:pt>
                <c:pt idx="46">
                  <c:v>1.6731</c:v>
                </c:pt>
                <c:pt idx="47">
                  <c:v>1.6601999999999999</c:v>
                </c:pt>
                <c:pt idx="48">
                  <c:v>1.6476999999999999</c:v>
                </c:pt>
                <c:pt idx="49">
                  <c:v>1.6355999999999999</c:v>
                </c:pt>
                <c:pt idx="50">
                  <c:v>1.6237999999999999</c:v>
                </c:pt>
                <c:pt idx="51">
                  <c:v>1.6123000000000001</c:v>
                </c:pt>
                <c:pt idx="52">
                  <c:v>1.601</c:v>
                </c:pt>
                <c:pt idx="53">
                  <c:v>1.5901000000000001</c:v>
                </c:pt>
                <c:pt idx="54">
                  <c:v>1.5792999999999999</c:v>
                </c:pt>
                <c:pt idx="55">
                  <c:v>1.5688</c:v>
                </c:pt>
                <c:pt idx="56">
                  <c:v>1.5585</c:v>
                </c:pt>
                <c:pt idx="57">
                  <c:v>1.5483</c:v>
                </c:pt>
                <c:pt idx="58">
                  <c:v>1.5383</c:v>
                </c:pt>
                <c:pt idx="59">
                  <c:v>1.5284</c:v>
                </c:pt>
                <c:pt idx="60">
                  <c:v>1.5186999999999999</c:v>
                </c:pt>
                <c:pt idx="61">
                  <c:v>1.5091000000000001</c:v>
                </c:pt>
                <c:pt idx="62">
                  <c:v>1.4995000000000001</c:v>
                </c:pt>
                <c:pt idx="63">
                  <c:v>1.49</c:v>
                </c:pt>
                <c:pt idx="64">
                  <c:v>1.4805999999999999</c:v>
                </c:pt>
                <c:pt idx="65">
                  <c:v>1.4712000000000001</c:v>
                </c:pt>
                <c:pt idx="66">
                  <c:v>1.4618</c:v>
                </c:pt>
                <c:pt idx="67">
                  <c:v>1.4523999999999999</c:v>
                </c:pt>
                <c:pt idx="68">
                  <c:v>1.4430000000000001</c:v>
                </c:pt>
                <c:pt idx="69">
                  <c:v>1.4335</c:v>
                </c:pt>
                <c:pt idx="70">
                  <c:v>1.4145000000000001</c:v>
                </c:pt>
                <c:pt idx="71">
                  <c:v>1.395</c:v>
                </c:pt>
                <c:pt idx="72">
                  <c:v>1.3749</c:v>
                </c:pt>
                <c:pt idx="73">
                  <c:v>1.3540000000000001</c:v>
                </c:pt>
                <c:pt idx="74">
                  <c:v>1.3317000000000001</c:v>
                </c:pt>
                <c:pt idx="75">
                  <c:v>1.3075000000000001</c:v>
                </c:pt>
                <c:pt idx="76">
                  <c:v>1.2803</c:v>
                </c:pt>
                <c:pt idx="77">
                  <c:v>1.2483</c:v>
                </c:pt>
                <c:pt idx="78">
                  <c:v>1.2068000000000001</c:v>
                </c:pt>
                <c:pt idx="79">
                  <c:v>1.1346000000000001</c:v>
                </c:pt>
                <c:pt idx="80">
                  <c:v>1.0580000000000001</c:v>
                </c:pt>
                <c:pt idx="81">
                  <c:v>0.99019999999999997</c:v>
                </c:pt>
                <c:pt idx="82">
                  <c:v>0.93500000000000005</c:v>
                </c:pt>
                <c:pt idx="83">
                  <c:v>0.89900000000000002</c:v>
                </c:pt>
                <c:pt idx="84">
                  <c:v>0.86809999999999998</c:v>
                </c:pt>
                <c:pt idx="85">
                  <c:v>0.83979999999999999</c:v>
                </c:pt>
                <c:pt idx="86">
                  <c:v>0.81299999999999994</c:v>
                </c:pt>
                <c:pt idx="87">
                  <c:v>0.78720000000000001</c:v>
                </c:pt>
                <c:pt idx="88">
                  <c:v>0.76200000000000001</c:v>
                </c:pt>
                <c:pt idx="89">
                  <c:v>0.73740000000000006</c:v>
                </c:pt>
                <c:pt idx="90">
                  <c:v>0.71299999999999997</c:v>
                </c:pt>
                <c:pt idx="91">
                  <c:v>0.68879999999999997</c:v>
                </c:pt>
                <c:pt idx="92">
                  <c:v>0.67669999999999997</c:v>
                </c:pt>
                <c:pt idx="93">
                  <c:v>0.66459999999999997</c:v>
                </c:pt>
                <c:pt idx="94">
                  <c:v>0.65249999999999997</c:v>
                </c:pt>
                <c:pt idx="95">
                  <c:v>0.64039999999999997</c:v>
                </c:pt>
                <c:pt idx="96">
                  <c:v>0.62819999999999998</c:v>
                </c:pt>
                <c:pt idx="97">
                  <c:v>0.61609999999999998</c:v>
                </c:pt>
                <c:pt idx="98">
                  <c:v>0.6038</c:v>
                </c:pt>
                <c:pt idx="99">
                  <c:v>0.59150000000000003</c:v>
                </c:pt>
                <c:pt idx="100">
                  <c:v>0.57920000000000005</c:v>
                </c:pt>
                <c:pt idx="101">
                  <c:v>0.56669999999999998</c:v>
                </c:pt>
                <c:pt idx="102">
                  <c:v>0.55420000000000003</c:v>
                </c:pt>
                <c:pt idx="103">
                  <c:v>0.54159999999999997</c:v>
                </c:pt>
                <c:pt idx="104">
                  <c:v>0.52890000000000004</c:v>
                </c:pt>
                <c:pt idx="105">
                  <c:v>0.51619999999999999</c:v>
                </c:pt>
                <c:pt idx="106">
                  <c:v>0.50329999999999997</c:v>
                </c:pt>
                <c:pt idx="107">
                  <c:v>0.49030000000000001</c:v>
                </c:pt>
                <c:pt idx="108">
                  <c:v>0.47720000000000001</c:v>
                </c:pt>
                <c:pt idx="109">
                  <c:v>0.46400000000000002</c:v>
                </c:pt>
                <c:pt idx="110">
                  <c:v>0.45069999999999999</c:v>
                </c:pt>
                <c:pt idx="111">
                  <c:v>0.43719999999999998</c:v>
                </c:pt>
                <c:pt idx="112">
                  <c:v>0.42359999999999998</c:v>
                </c:pt>
                <c:pt idx="113">
                  <c:v>0.40989999999999999</c:v>
                </c:pt>
                <c:pt idx="114">
                  <c:v>0.39600000000000002</c:v>
                </c:pt>
                <c:pt idx="115">
                  <c:v>0.38190000000000002</c:v>
                </c:pt>
                <c:pt idx="116">
                  <c:v>0.36770000000000003</c:v>
                </c:pt>
                <c:pt idx="117">
                  <c:v>0.35339999999999999</c:v>
                </c:pt>
                <c:pt idx="118">
                  <c:v>0.33879999999999999</c:v>
                </c:pt>
                <c:pt idx="119">
                  <c:v>0.3241</c:v>
                </c:pt>
                <c:pt idx="120">
                  <c:v>0.31209999999999999</c:v>
                </c:pt>
                <c:pt idx="121">
                  <c:v>0.30909999999999999</c:v>
                </c:pt>
                <c:pt idx="122">
                  <c:v>0.29399999999999998</c:v>
                </c:pt>
                <c:pt idx="123">
                  <c:v>0.2787</c:v>
                </c:pt>
                <c:pt idx="124">
                  <c:v>0.2631</c:v>
                </c:pt>
                <c:pt idx="125">
                  <c:v>0.24729999999999999</c:v>
                </c:pt>
                <c:pt idx="126">
                  <c:v>0.23130000000000001</c:v>
                </c:pt>
                <c:pt idx="127">
                  <c:v>0.215</c:v>
                </c:pt>
                <c:pt idx="128">
                  <c:v>0.19850000000000001</c:v>
                </c:pt>
                <c:pt idx="129">
                  <c:v>0.1817</c:v>
                </c:pt>
                <c:pt idx="130">
                  <c:v>0.16470000000000001</c:v>
                </c:pt>
                <c:pt idx="131">
                  <c:v>0.14729999999999999</c:v>
                </c:pt>
                <c:pt idx="132">
                  <c:v>0.12959999999999999</c:v>
                </c:pt>
                <c:pt idx="133">
                  <c:v>0.12609999999999999</c:v>
                </c:pt>
                <c:pt idx="134">
                  <c:v>0.1225</c:v>
                </c:pt>
                <c:pt idx="135">
                  <c:v>0.11890000000000001</c:v>
                </c:pt>
                <c:pt idx="136">
                  <c:v>0.1153</c:v>
                </c:pt>
                <c:pt idx="137">
                  <c:v>0.11169999999999999</c:v>
                </c:pt>
                <c:pt idx="138">
                  <c:v>0.108</c:v>
                </c:pt>
                <c:pt idx="139">
                  <c:v>0.10440000000000001</c:v>
                </c:pt>
                <c:pt idx="140">
                  <c:v>0.1007</c:v>
                </c:pt>
                <c:pt idx="141">
                  <c:v>9.7009999999999999E-2</c:v>
                </c:pt>
                <c:pt idx="142">
                  <c:v>9.332E-2</c:v>
                </c:pt>
                <c:pt idx="143">
                  <c:v>8.9609999999999995E-2</c:v>
                </c:pt>
                <c:pt idx="144">
                  <c:v>8.5889999999999994E-2</c:v>
                </c:pt>
                <c:pt idx="145">
                  <c:v>8.2150000000000001E-2</c:v>
                </c:pt>
                <c:pt idx="146">
                  <c:v>7.8390000000000001E-2</c:v>
                </c:pt>
                <c:pt idx="147">
                  <c:v>7.4630000000000002E-2</c:v>
                </c:pt>
                <c:pt idx="148">
                  <c:v>7.084E-2</c:v>
                </c:pt>
                <c:pt idx="149">
                  <c:v>6.7040000000000002E-2</c:v>
                </c:pt>
                <c:pt idx="150">
                  <c:v>6.3229999999999995E-2</c:v>
                </c:pt>
                <c:pt idx="151">
                  <c:v>5.9400000000000001E-2</c:v>
                </c:pt>
                <c:pt idx="152">
                  <c:v>5.5550000000000002E-2</c:v>
                </c:pt>
                <c:pt idx="153">
                  <c:v>5.1589999999999997E-2</c:v>
                </c:pt>
                <c:pt idx="154">
                  <c:v>4.7809999999999998E-2</c:v>
                </c:pt>
                <c:pt idx="155">
                  <c:v>4.3909999999999998E-2</c:v>
                </c:pt>
                <c:pt idx="156">
                  <c:v>0.04</c:v>
                </c:pt>
                <c:pt idx="157">
                  <c:v>3.6069999999999998E-2</c:v>
                </c:pt>
                <c:pt idx="158">
                  <c:v>2.6179999999999998E-2</c:v>
                </c:pt>
                <c:pt idx="159">
                  <c:v>1.617E-2</c:v>
                </c:pt>
                <c:pt idx="160">
                  <c:v>6.0699999999999999E-3</c:v>
                </c:pt>
              </c:numCache>
            </c:numRef>
          </c:xVal>
          <c:yVal>
            <c:numRef>
              <c:f>GraphicsEnglish!$L$45:$L$205</c:f>
              <c:numCache>
                <c:formatCode>General</c:formatCode>
                <c:ptCount val="161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52</c:v>
                </c:pt>
                <c:pt idx="5">
                  <c:v>54</c:v>
                </c:pt>
                <c:pt idx="6">
                  <c:v>56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64</c:v>
                </c:pt>
                <c:pt idx="11">
                  <c:v>66</c:v>
                </c:pt>
                <c:pt idx="12">
                  <c:v>68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82</c:v>
                </c:pt>
                <c:pt idx="20">
                  <c:v>84</c:v>
                </c:pt>
                <c:pt idx="21">
                  <c:v>86</c:v>
                </c:pt>
                <c:pt idx="22">
                  <c:v>88</c:v>
                </c:pt>
                <c:pt idx="23">
                  <c:v>90</c:v>
                </c:pt>
                <c:pt idx="24">
                  <c:v>92</c:v>
                </c:pt>
                <c:pt idx="25">
                  <c:v>94</c:v>
                </c:pt>
                <c:pt idx="26">
                  <c:v>96</c:v>
                </c:pt>
                <c:pt idx="27">
                  <c:v>98</c:v>
                </c:pt>
                <c:pt idx="28">
                  <c:v>100</c:v>
                </c:pt>
                <c:pt idx="29">
                  <c:v>110</c:v>
                </c:pt>
                <c:pt idx="30">
                  <c:v>120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212</c:v>
                </c:pt>
                <c:pt idx="41">
                  <c:v>220</c:v>
                </c:pt>
                <c:pt idx="42">
                  <c:v>230</c:v>
                </c:pt>
                <c:pt idx="43">
                  <c:v>240</c:v>
                </c:pt>
                <c:pt idx="44">
                  <c:v>250</c:v>
                </c:pt>
                <c:pt idx="45">
                  <c:v>260</c:v>
                </c:pt>
                <c:pt idx="46">
                  <c:v>270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320</c:v>
                </c:pt>
                <c:pt idx="52">
                  <c:v>330</c:v>
                </c:pt>
                <c:pt idx="53">
                  <c:v>340</c:v>
                </c:pt>
                <c:pt idx="54">
                  <c:v>350</c:v>
                </c:pt>
                <c:pt idx="55">
                  <c:v>360</c:v>
                </c:pt>
                <c:pt idx="56">
                  <c:v>370</c:v>
                </c:pt>
                <c:pt idx="57">
                  <c:v>380</c:v>
                </c:pt>
                <c:pt idx="58">
                  <c:v>390</c:v>
                </c:pt>
                <c:pt idx="59">
                  <c:v>400</c:v>
                </c:pt>
                <c:pt idx="60">
                  <c:v>410</c:v>
                </c:pt>
                <c:pt idx="61">
                  <c:v>420</c:v>
                </c:pt>
                <c:pt idx="62">
                  <c:v>430</c:v>
                </c:pt>
                <c:pt idx="63">
                  <c:v>440</c:v>
                </c:pt>
                <c:pt idx="64">
                  <c:v>450</c:v>
                </c:pt>
                <c:pt idx="65">
                  <c:v>460</c:v>
                </c:pt>
                <c:pt idx="66">
                  <c:v>470</c:v>
                </c:pt>
                <c:pt idx="67">
                  <c:v>480</c:v>
                </c:pt>
                <c:pt idx="68">
                  <c:v>490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620</c:v>
                </c:pt>
                <c:pt idx="76">
                  <c:v>640</c:v>
                </c:pt>
                <c:pt idx="77">
                  <c:v>660</c:v>
                </c:pt>
                <c:pt idx="78">
                  <c:v>680</c:v>
                </c:pt>
                <c:pt idx="79">
                  <c:v>700</c:v>
                </c:pt>
                <c:pt idx="80">
                  <c:v>705.4</c:v>
                </c:pt>
                <c:pt idx="81">
                  <c:v>700</c:v>
                </c:pt>
                <c:pt idx="82">
                  <c:v>680</c:v>
                </c:pt>
                <c:pt idx="83">
                  <c:v>660</c:v>
                </c:pt>
                <c:pt idx="84">
                  <c:v>640</c:v>
                </c:pt>
                <c:pt idx="85">
                  <c:v>620</c:v>
                </c:pt>
                <c:pt idx="86">
                  <c:v>600</c:v>
                </c:pt>
                <c:pt idx="87">
                  <c:v>580</c:v>
                </c:pt>
                <c:pt idx="88">
                  <c:v>560</c:v>
                </c:pt>
                <c:pt idx="89">
                  <c:v>540</c:v>
                </c:pt>
                <c:pt idx="90">
                  <c:v>520</c:v>
                </c:pt>
                <c:pt idx="91">
                  <c:v>500</c:v>
                </c:pt>
                <c:pt idx="92">
                  <c:v>490</c:v>
                </c:pt>
                <c:pt idx="93">
                  <c:v>480</c:v>
                </c:pt>
                <c:pt idx="94">
                  <c:v>470</c:v>
                </c:pt>
                <c:pt idx="95">
                  <c:v>460</c:v>
                </c:pt>
                <c:pt idx="96">
                  <c:v>450</c:v>
                </c:pt>
                <c:pt idx="97">
                  <c:v>440</c:v>
                </c:pt>
                <c:pt idx="98">
                  <c:v>430</c:v>
                </c:pt>
                <c:pt idx="99">
                  <c:v>420</c:v>
                </c:pt>
                <c:pt idx="100">
                  <c:v>410</c:v>
                </c:pt>
                <c:pt idx="101">
                  <c:v>400</c:v>
                </c:pt>
                <c:pt idx="102">
                  <c:v>390</c:v>
                </c:pt>
                <c:pt idx="103">
                  <c:v>380</c:v>
                </c:pt>
                <c:pt idx="104">
                  <c:v>370</c:v>
                </c:pt>
                <c:pt idx="105">
                  <c:v>360</c:v>
                </c:pt>
                <c:pt idx="106">
                  <c:v>350</c:v>
                </c:pt>
                <c:pt idx="107">
                  <c:v>340</c:v>
                </c:pt>
                <c:pt idx="108">
                  <c:v>330</c:v>
                </c:pt>
                <c:pt idx="109">
                  <c:v>320</c:v>
                </c:pt>
                <c:pt idx="110">
                  <c:v>310</c:v>
                </c:pt>
                <c:pt idx="111">
                  <c:v>300</c:v>
                </c:pt>
                <c:pt idx="112">
                  <c:v>290</c:v>
                </c:pt>
                <c:pt idx="113">
                  <c:v>280</c:v>
                </c:pt>
                <c:pt idx="114">
                  <c:v>270</c:v>
                </c:pt>
                <c:pt idx="115">
                  <c:v>260</c:v>
                </c:pt>
                <c:pt idx="116">
                  <c:v>250</c:v>
                </c:pt>
                <c:pt idx="117">
                  <c:v>240</c:v>
                </c:pt>
                <c:pt idx="118">
                  <c:v>230</c:v>
                </c:pt>
                <c:pt idx="119">
                  <c:v>220</c:v>
                </c:pt>
                <c:pt idx="120">
                  <c:v>212</c:v>
                </c:pt>
                <c:pt idx="121">
                  <c:v>210</c:v>
                </c:pt>
                <c:pt idx="122">
                  <c:v>200</c:v>
                </c:pt>
                <c:pt idx="123">
                  <c:v>190</c:v>
                </c:pt>
                <c:pt idx="124">
                  <c:v>180</c:v>
                </c:pt>
                <c:pt idx="125">
                  <c:v>170</c:v>
                </c:pt>
                <c:pt idx="126">
                  <c:v>160</c:v>
                </c:pt>
                <c:pt idx="127">
                  <c:v>150</c:v>
                </c:pt>
                <c:pt idx="128">
                  <c:v>140</c:v>
                </c:pt>
                <c:pt idx="129">
                  <c:v>130</c:v>
                </c:pt>
                <c:pt idx="130">
                  <c:v>120</c:v>
                </c:pt>
                <c:pt idx="131">
                  <c:v>110</c:v>
                </c:pt>
                <c:pt idx="132">
                  <c:v>100</c:v>
                </c:pt>
                <c:pt idx="133">
                  <c:v>98</c:v>
                </c:pt>
                <c:pt idx="134">
                  <c:v>96</c:v>
                </c:pt>
                <c:pt idx="135">
                  <c:v>94</c:v>
                </c:pt>
                <c:pt idx="136">
                  <c:v>92</c:v>
                </c:pt>
                <c:pt idx="137">
                  <c:v>90</c:v>
                </c:pt>
                <c:pt idx="138">
                  <c:v>88</c:v>
                </c:pt>
                <c:pt idx="139">
                  <c:v>86</c:v>
                </c:pt>
                <c:pt idx="140">
                  <c:v>84</c:v>
                </c:pt>
                <c:pt idx="141">
                  <c:v>82</c:v>
                </c:pt>
                <c:pt idx="142">
                  <c:v>80</c:v>
                </c:pt>
                <c:pt idx="143">
                  <c:v>78</c:v>
                </c:pt>
                <c:pt idx="144">
                  <c:v>76</c:v>
                </c:pt>
                <c:pt idx="145">
                  <c:v>74</c:v>
                </c:pt>
                <c:pt idx="146">
                  <c:v>72</c:v>
                </c:pt>
                <c:pt idx="147">
                  <c:v>70</c:v>
                </c:pt>
                <c:pt idx="148">
                  <c:v>68</c:v>
                </c:pt>
                <c:pt idx="149">
                  <c:v>66</c:v>
                </c:pt>
                <c:pt idx="150">
                  <c:v>64</c:v>
                </c:pt>
                <c:pt idx="151">
                  <c:v>62</c:v>
                </c:pt>
                <c:pt idx="152">
                  <c:v>60</c:v>
                </c:pt>
                <c:pt idx="153">
                  <c:v>58</c:v>
                </c:pt>
                <c:pt idx="154">
                  <c:v>56</c:v>
                </c:pt>
                <c:pt idx="155">
                  <c:v>54</c:v>
                </c:pt>
                <c:pt idx="156">
                  <c:v>52</c:v>
                </c:pt>
                <c:pt idx="157">
                  <c:v>50</c:v>
                </c:pt>
                <c:pt idx="158">
                  <c:v>45</c:v>
                </c:pt>
                <c:pt idx="159">
                  <c:v>40</c:v>
                </c:pt>
                <c:pt idx="160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49760"/>
        <c:axId val="224959104"/>
      </c:scatterChart>
      <c:valAx>
        <c:axId val="2249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Entropy, </a:t>
                </a:r>
                <a:r>
                  <a:rPr lang="en-US" baseline="0"/>
                  <a:t>s (Btu/lbm R)</a:t>
                </a:r>
                <a:endParaRPr lang="en-US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224959104"/>
        <c:crosses val="autoZero"/>
        <c:crossBetween val="midCat"/>
      </c:valAx>
      <c:valAx>
        <c:axId val="22495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(deg</a:t>
                </a:r>
                <a:r>
                  <a:rPr lang="en-US" baseline="0"/>
                  <a:t> F)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494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VaporDome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GraphicsEnglish!$K$45:$K$205</c:f>
              <c:numCache>
                <c:formatCode>0.00000</c:formatCode>
                <c:ptCount val="161"/>
                <c:pt idx="0">
                  <c:v>2.1764000000000001</c:v>
                </c:pt>
                <c:pt idx="1">
                  <c:v>2.1591999999999998</c:v>
                </c:pt>
                <c:pt idx="2">
                  <c:v>2.1423000000000001</c:v>
                </c:pt>
                <c:pt idx="3">
                  <c:v>2.1259000000000001</c:v>
                </c:pt>
                <c:pt idx="4">
                  <c:v>2.1194999999999999</c:v>
                </c:pt>
                <c:pt idx="5">
                  <c:v>2.1131000000000002</c:v>
                </c:pt>
                <c:pt idx="6">
                  <c:v>2.1067999999999998</c:v>
                </c:pt>
                <c:pt idx="7">
                  <c:v>2.1004999999999998</c:v>
                </c:pt>
                <c:pt idx="8">
                  <c:v>2.0943000000000001</c:v>
                </c:pt>
                <c:pt idx="9">
                  <c:v>2.0882000000000001</c:v>
                </c:pt>
                <c:pt idx="10">
                  <c:v>2.0821000000000001</c:v>
                </c:pt>
                <c:pt idx="11">
                  <c:v>2.0760999999999998</c:v>
                </c:pt>
                <c:pt idx="12">
                  <c:v>2.0701000000000001</c:v>
                </c:pt>
                <c:pt idx="13">
                  <c:v>2.0642</c:v>
                </c:pt>
                <c:pt idx="14">
                  <c:v>2.0583999999999998</c:v>
                </c:pt>
                <c:pt idx="15">
                  <c:v>2.0526</c:v>
                </c:pt>
                <c:pt idx="16">
                  <c:v>2.0468999999999999</c:v>
                </c:pt>
                <c:pt idx="17">
                  <c:v>2.0411999999999999</c:v>
                </c:pt>
                <c:pt idx="18">
                  <c:v>2.0356000000000001</c:v>
                </c:pt>
                <c:pt idx="19">
                  <c:v>2.0299999999999998</c:v>
                </c:pt>
                <c:pt idx="20">
                  <c:v>2.0245000000000002</c:v>
                </c:pt>
                <c:pt idx="21">
                  <c:v>2.0190000000000001</c:v>
                </c:pt>
                <c:pt idx="22">
                  <c:v>2.0135999999999998</c:v>
                </c:pt>
                <c:pt idx="23">
                  <c:v>2.0083000000000002</c:v>
                </c:pt>
                <c:pt idx="24">
                  <c:v>2.0030000000000001</c:v>
                </c:pt>
                <c:pt idx="25">
                  <c:v>1.9977</c:v>
                </c:pt>
                <c:pt idx="26">
                  <c:v>1.9924999999999999</c:v>
                </c:pt>
                <c:pt idx="27">
                  <c:v>1.9874000000000001</c:v>
                </c:pt>
                <c:pt idx="28">
                  <c:v>1.9822</c:v>
                </c:pt>
                <c:pt idx="29">
                  <c:v>1.9574</c:v>
                </c:pt>
                <c:pt idx="30">
                  <c:v>1.9336</c:v>
                </c:pt>
                <c:pt idx="31">
                  <c:v>1.9109</c:v>
                </c:pt>
                <c:pt idx="32">
                  <c:v>1.8892</c:v>
                </c:pt>
                <c:pt idx="33">
                  <c:v>1.8684000000000001</c:v>
                </c:pt>
                <c:pt idx="34">
                  <c:v>1.8484</c:v>
                </c:pt>
                <c:pt idx="35">
                  <c:v>1.8292999999999999</c:v>
                </c:pt>
                <c:pt idx="36">
                  <c:v>1.8109</c:v>
                </c:pt>
                <c:pt idx="37">
                  <c:v>1.7931999999999999</c:v>
                </c:pt>
                <c:pt idx="38">
                  <c:v>1.7762</c:v>
                </c:pt>
                <c:pt idx="39">
                  <c:v>1.7599</c:v>
                </c:pt>
                <c:pt idx="40">
                  <c:v>1.7566999999999999</c:v>
                </c:pt>
                <c:pt idx="41">
                  <c:v>1.7441</c:v>
                </c:pt>
                <c:pt idx="42">
                  <c:v>1.7289000000000001</c:v>
                </c:pt>
                <c:pt idx="43">
                  <c:v>1.7142999999999999</c:v>
                </c:pt>
                <c:pt idx="44">
                  <c:v>1.7000999999999999</c:v>
                </c:pt>
                <c:pt idx="45">
                  <c:v>1.6863999999999999</c:v>
                </c:pt>
                <c:pt idx="46">
                  <c:v>1.6731</c:v>
                </c:pt>
                <c:pt idx="47">
                  <c:v>1.6601999999999999</c:v>
                </c:pt>
                <c:pt idx="48">
                  <c:v>1.6476999999999999</c:v>
                </c:pt>
                <c:pt idx="49">
                  <c:v>1.6355999999999999</c:v>
                </c:pt>
                <c:pt idx="50">
                  <c:v>1.6237999999999999</c:v>
                </c:pt>
                <c:pt idx="51">
                  <c:v>1.6123000000000001</c:v>
                </c:pt>
                <c:pt idx="52">
                  <c:v>1.601</c:v>
                </c:pt>
                <c:pt idx="53">
                  <c:v>1.5901000000000001</c:v>
                </c:pt>
                <c:pt idx="54">
                  <c:v>1.5792999999999999</c:v>
                </c:pt>
                <c:pt idx="55">
                  <c:v>1.5688</c:v>
                </c:pt>
                <c:pt idx="56">
                  <c:v>1.5585</c:v>
                </c:pt>
                <c:pt idx="57">
                  <c:v>1.5483</c:v>
                </c:pt>
                <c:pt idx="58">
                  <c:v>1.5383</c:v>
                </c:pt>
                <c:pt idx="59">
                  <c:v>1.5284</c:v>
                </c:pt>
                <c:pt idx="60">
                  <c:v>1.5186999999999999</c:v>
                </c:pt>
                <c:pt idx="61">
                  <c:v>1.5091000000000001</c:v>
                </c:pt>
                <c:pt idx="62">
                  <c:v>1.4995000000000001</c:v>
                </c:pt>
                <c:pt idx="63">
                  <c:v>1.49</c:v>
                </c:pt>
                <c:pt idx="64">
                  <c:v>1.4805999999999999</c:v>
                </c:pt>
                <c:pt idx="65">
                  <c:v>1.4712000000000001</c:v>
                </c:pt>
                <c:pt idx="66">
                  <c:v>1.4618</c:v>
                </c:pt>
                <c:pt idx="67">
                  <c:v>1.4523999999999999</c:v>
                </c:pt>
                <c:pt idx="68">
                  <c:v>1.4430000000000001</c:v>
                </c:pt>
                <c:pt idx="69">
                  <c:v>1.4335</c:v>
                </c:pt>
                <c:pt idx="70">
                  <c:v>1.4145000000000001</c:v>
                </c:pt>
                <c:pt idx="71">
                  <c:v>1.395</c:v>
                </c:pt>
                <c:pt idx="72">
                  <c:v>1.3749</c:v>
                </c:pt>
                <c:pt idx="73">
                  <c:v>1.3540000000000001</c:v>
                </c:pt>
                <c:pt idx="74">
                  <c:v>1.3317000000000001</c:v>
                </c:pt>
                <c:pt idx="75">
                  <c:v>1.3075000000000001</c:v>
                </c:pt>
                <c:pt idx="76">
                  <c:v>1.2803</c:v>
                </c:pt>
                <c:pt idx="77">
                  <c:v>1.2483</c:v>
                </c:pt>
                <c:pt idx="78">
                  <c:v>1.2068000000000001</c:v>
                </c:pt>
                <c:pt idx="79">
                  <c:v>1.1346000000000001</c:v>
                </c:pt>
                <c:pt idx="80">
                  <c:v>1.0580000000000001</c:v>
                </c:pt>
                <c:pt idx="81">
                  <c:v>0.99019999999999997</c:v>
                </c:pt>
                <c:pt idx="82">
                  <c:v>0.93500000000000005</c:v>
                </c:pt>
                <c:pt idx="83">
                  <c:v>0.89900000000000002</c:v>
                </c:pt>
                <c:pt idx="84">
                  <c:v>0.86809999999999998</c:v>
                </c:pt>
                <c:pt idx="85">
                  <c:v>0.83979999999999999</c:v>
                </c:pt>
                <c:pt idx="86">
                  <c:v>0.81299999999999994</c:v>
                </c:pt>
                <c:pt idx="87">
                  <c:v>0.78720000000000001</c:v>
                </c:pt>
                <c:pt idx="88">
                  <c:v>0.76200000000000001</c:v>
                </c:pt>
                <c:pt idx="89">
                  <c:v>0.73740000000000006</c:v>
                </c:pt>
                <c:pt idx="90">
                  <c:v>0.71299999999999997</c:v>
                </c:pt>
                <c:pt idx="91">
                  <c:v>0.68879999999999997</c:v>
                </c:pt>
                <c:pt idx="92">
                  <c:v>0.67669999999999997</c:v>
                </c:pt>
                <c:pt idx="93">
                  <c:v>0.66459999999999997</c:v>
                </c:pt>
                <c:pt idx="94">
                  <c:v>0.65249999999999997</c:v>
                </c:pt>
                <c:pt idx="95">
                  <c:v>0.64039999999999997</c:v>
                </c:pt>
                <c:pt idx="96">
                  <c:v>0.62819999999999998</c:v>
                </c:pt>
                <c:pt idx="97">
                  <c:v>0.61609999999999998</c:v>
                </c:pt>
                <c:pt idx="98">
                  <c:v>0.6038</c:v>
                </c:pt>
                <c:pt idx="99">
                  <c:v>0.59150000000000003</c:v>
                </c:pt>
                <c:pt idx="100">
                  <c:v>0.57920000000000005</c:v>
                </c:pt>
                <c:pt idx="101">
                  <c:v>0.56669999999999998</c:v>
                </c:pt>
                <c:pt idx="102">
                  <c:v>0.55420000000000003</c:v>
                </c:pt>
                <c:pt idx="103">
                  <c:v>0.54159999999999997</c:v>
                </c:pt>
                <c:pt idx="104">
                  <c:v>0.52890000000000004</c:v>
                </c:pt>
                <c:pt idx="105">
                  <c:v>0.51619999999999999</c:v>
                </c:pt>
                <c:pt idx="106">
                  <c:v>0.50329999999999997</c:v>
                </c:pt>
                <c:pt idx="107">
                  <c:v>0.49030000000000001</c:v>
                </c:pt>
                <c:pt idx="108">
                  <c:v>0.47720000000000001</c:v>
                </c:pt>
                <c:pt idx="109">
                  <c:v>0.46400000000000002</c:v>
                </c:pt>
                <c:pt idx="110">
                  <c:v>0.45069999999999999</c:v>
                </c:pt>
                <c:pt idx="111">
                  <c:v>0.43719999999999998</c:v>
                </c:pt>
                <c:pt idx="112">
                  <c:v>0.42359999999999998</c:v>
                </c:pt>
                <c:pt idx="113">
                  <c:v>0.40989999999999999</c:v>
                </c:pt>
                <c:pt idx="114">
                  <c:v>0.39600000000000002</c:v>
                </c:pt>
                <c:pt idx="115">
                  <c:v>0.38190000000000002</c:v>
                </c:pt>
                <c:pt idx="116">
                  <c:v>0.36770000000000003</c:v>
                </c:pt>
                <c:pt idx="117">
                  <c:v>0.35339999999999999</c:v>
                </c:pt>
                <c:pt idx="118">
                  <c:v>0.33879999999999999</c:v>
                </c:pt>
                <c:pt idx="119">
                  <c:v>0.3241</c:v>
                </c:pt>
                <c:pt idx="120">
                  <c:v>0.31209999999999999</c:v>
                </c:pt>
                <c:pt idx="121">
                  <c:v>0.30909999999999999</c:v>
                </c:pt>
                <c:pt idx="122">
                  <c:v>0.29399999999999998</c:v>
                </c:pt>
                <c:pt idx="123">
                  <c:v>0.2787</c:v>
                </c:pt>
                <c:pt idx="124">
                  <c:v>0.2631</c:v>
                </c:pt>
                <c:pt idx="125">
                  <c:v>0.24729999999999999</c:v>
                </c:pt>
                <c:pt idx="126">
                  <c:v>0.23130000000000001</c:v>
                </c:pt>
                <c:pt idx="127">
                  <c:v>0.215</c:v>
                </c:pt>
                <c:pt idx="128">
                  <c:v>0.19850000000000001</c:v>
                </c:pt>
                <c:pt idx="129">
                  <c:v>0.1817</c:v>
                </c:pt>
                <c:pt idx="130">
                  <c:v>0.16470000000000001</c:v>
                </c:pt>
                <c:pt idx="131">
                  <c:v>0.14729999999999999</c:v>
                </c:pt>
                <c:pt idx="132">
                  <c:v>0.12959999999999999</c:v>
                </c:pt>
                <c:pt idx="133">
                  <c:v>0.12609999999999999</c:v>
                </c:pt>
                <c:pt idx="134">
                  <c:v>0.1225</c:v>
                </c:pt>
                <c:pt idx="135">
                  <c:v>0.11890000000000001</c:v>
                </c:pt>
                <c:pt idx="136">
                  <c:v>0.1153</c:v>
                </c:pt>
                <c:pt idx="137">
                  <c:v>0.11169999999999999</c:v>
                </c:pt>
                <c:pt idx="138">
                  <c:v>0.108</c:v>
                </c:pt>
                <c:pt idx="139">
                  <c:v>0.10440000000000001</c:v>
                </c:pt>
                <c:pt idx="140">
                  <c:v>0.1007</c:v>
                </c:pt>
                <c:pt idx="141">
                  <c:v>9.7009999999999999E-2</c:v>
                </c:pt>
                <c:pt idx="142">
                  <c:v>9.332E-2</c:v>
                </c:pt>
                <c:pt idx="143">
                  <c:v>8.9609999999999995E-2</c:v>
                </c:pt>
                <c:pt idx="144">
                  <c:v>8.5889999999999994E-2</c:v>
                </c:pt>
                <c:pt idx="145">
                  <c:v>8.2150000000000001E-2</c:v>
                </c:pt>
                <c:pt idx="146">
                  <c:v>7.8390000000000001E-2</c:v>
                </c:pt>
                <c:pt idx="147">
                  <c:v>7.4630000000000002E-2</c:v>
                </c:pt>
                <c:pt idx="148">
                  <c:v>7.084E-2</c:v>
                </c:pt>
                <c:pt idx="149">
                  <c:v>6.7040000000000002E-2</c:v>
                </c:pt>
                <c:pt idx="150">
                  <c:v>6.3229999999999995E-2</c:v>
                </c:pt>
                <c:pt idx="151">
                  <c:v>5.9400000000000001E-2</c:v>
                </c:pt>
                <c:pt idx="152">
                  <c:v>5.5550000000000002E-2</c:v>
                </c:pt>
                <c:pt idx="153">
                  <c:v>5.1589999999999997E-2</c:v>
                </c:pt>
                <c:pt idx="154">
                  <c:v>4.7809999999999998E-2</c:v>
                </c:pt>
                <c:pt idx="155">
                  <c:v>4.3909999999999998E-2</c:v>
                </c:pt>
                <c:pt idx="156">
                  <c:v>0.04</c:v>
                </c:pt>
                <c:pt idx="157">
                  <c:v>3.6069999999999998E-2</c:v>
                </c:pt>
                <c:pt idx="158">
                  <c:v>2.6179999999999998E-2</c:v>
                </c:pt>
                <c:pt idx="159">
                  <c:v>1.617E-2</c:v>
                </c:pt>
                <c:pt idx="160">
                  <c:v>6.0699999999999999E-3</c:v>
                </c:pt>
              </c:numCache>
            </c:numRef>
          </c:xVal>
          <c:yVal>
            <c:numRef>
              <c:f>GraphicsEnglish!$L$45:$L$205</c:f>
              <c:numCache>
                <c:formatCode>General</c:formatCode>
                <c:ptCount val="161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52</c:v>
                </c:pt>
                <c:pt idx="5">
                  <c:v>54</c:v>
                </c:pt>
                <c:pt idx="6">
                  <c:v>56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64</c:v>
                </c:pt>
                <c:pt idx="11">
                  <c:v>66</c:v>
                </c:pt>
                <c:pt idx="12">
                  <c:v>68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82</c:v>
                </c:pt>
                <c:pt idx="20">
                  <c:v>84</c:v>
                </c:pt>
                <c:pt idx="21">
                  <c:v>86</c:v>
                </c:pt>
                <c:pt idx="22">
                  <c:v>88</c:v>
                </c:pt>
                <c:pt idx="23">
                  <c:v>90</c:v>
                </c:pt>
                <c:pt idx="24">
                  <c:v>92</c:v>
                </c:pt>
                <c:pt idx="25">
                  <c:v>94</c:v>
                </c:pt>
                <c:pt idx="26">
                  <c:v>96</c:v>
                </c:pt>
                <c:pt idx="27">
                  <c:v>98</c:v>
                </c:pt>
                <c:pt idx="28">
                  <c:v>100</c:v>
                </c:pt>
                <c:pt idx="29">
                  <c:v>110</c:v>
                </c:pt>
                <c:pt idx="30">
                  <c:v>120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212</c:v>
                </c:pt>
                <c:pt idx="41">
                  <c:v>220</c:v>
                </c:pt>
                <c:pt idx="42">
                  <c:v>230</c:v>
                </c:pt>
                <c:pt idx="43">
                  <c:v>240</c:v>
                </c:pt>
                <c:pt idx="44">
                  <c:v>250</c:v>
                </c:pt>
                <c:pt idx="45">
                  <c:v>260</c:v>
                </c:pt>
                <c:pt idx="46">
                  <c:v>270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320</c:v>
                </c:pt>
                <c:pt idx="52">
                  <c:v>330</c:v>
                </c:pt>
                <c:pt idx="53">
                  <c:v>340</c:v>
                </c:pt>
                <c:pt idx="54">
                  <c:v>350</c:v>
                </c:pt>
                <c:pt idx="55">
                  <c:v>360</c:v>
                </c:pt>
                <c:pt idx="56">
                  <c:v>370</c:v>
                </c:pt>
                <c:pt idx="57">
                  <c:v>380</c:v>
                </c:pt>
                <c:pt idx="58">
                  <c:v>390</c:v>
                </c:pt>
                <c:pt idx="59">
                  <c:v>400</c:v>
                </c:pt>
                <c:pt idx="60">
                  <c:v>410</c:v>
                </c:pt>
                <c:pt idx="61">
                  <c:v>420</c:v>
                </c:pt>
                <c:pt idx="62">
                  <c:v>430</c:v>
                </c:pt>
                <c:pt idx="63">
                  <c:v>440</c:v>
                </c:pt>
                <c:pt idx="64">
                  <c:v>450</c:v>
                </c:pt>
                <c:pt idx="65">
                  <c:v>460</c:v>
                </c:pt>
                <c:pt idx="66">
                  <c:v>470</c:v>
                </c:pt>
                <c:pt idx="67">
                  <c:v>480</c:v>
                </c:pt>
                <c:pt idx="68">
                  <c:v>490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620</c:v>
                </c:pt>
                <c:pt idx="76">
                  <c:v>640</c:v>
                </c:pt>
                <c:pt idx="77">
                  <c:v>660</c:v>
                </c:pt>
                <c:pt idx="78">
                  <c:v>680</c:v>
                </c:pt>
                <c:pt idx="79">
                  <c:v>700</c:v>
                </c:pt>
                <c:pt idx="80">
                  <c:v>705.4</c:v>
                </c:pt>
                <c:pt idx="81">
                  <c:v>700</c:v>
                </c:pt>
                <c:pt idx="82">
                  <c:v>680</c:v>
                </c:pt>
                <c:pt idx="83">
                  <c:v>660</c:v>
                </c:pt>
                <c:pt idx="84">
                  <c:v>640</c:v>
                </c:pt>
                <c:pt idx="85">
                  <c:v>620</c:v>
                </c:pt>
                <c:pt idx="86">
                  <c:v>600</c:v>
                </c:pt>
                <c:pt idx="87">
                  <c:v>580</c:v>
                </c:pt>
                <c:pt idx="88">
                  <c:v>560</c:v>
                </c:pt>
                <c:pt idx="89">
                  <c:v>540</c:v>
                </c:pt>
                <c:pt idx="90">
                  <c:v>520</c:v>
                </c:pt>
                <c:pt idx="91">
                  <c:v>500</c:v>
                </c:pt>
                <c:pt idx="92">
                  <c:v>490</c:v>
                </c:pt>
                <c:pt idx="93">
                  <c:v>480</c:v>
                </c:pt>
                <c:pt idx="94">
                  <c:v>470</c:v>
                </c:pt>
                <c:pt idx="95">
                  <c:v>460</c:v>
                </c:pt>
                <c:pt idx="96">
                  <c:v>450</c:v>
                </c:pt>
                <c:pt idx="97">
                  <c:v>440</c:v>
                </c:pt>
                <c:pt idx="98">
                  <c:v>430</c:v>
                </c:pt>
                <c:pt idx="99">
                  <c:v>420</c:v>
                </c:pt>
                <c:pt idx="100">
                  <c:v>410</c:v>
                </c:pt>
                <c:pt idx="101">
                  <c:v>400</c:v>
                </c:pt>
                <c:pt idx="102">
                  <c:v>390</c:v>
                </c:pt>
                <c:pt idx="103">
                  <c:v>380</c:v>
                </c:pt>
                <c:pt idx="104">
                  <c:v>370</c:v>
                </c:pt>
                <c:pt idx="105">
                  <c:v>360</c:v>
                </c:pt>
                <c:pt idx="106">
                  <c:v>350</c:v>
                </c:pt>
                <c:pt idx="107">
                  <c:v>340</c:v>
                </c:pt>
                <c:pt idx="108">
                  <c:v>330</c:v>
                </c:pt>
                <c:pt idx="109">
                  <c:v>320</c:v>
                </c:pt>
                <c:pt idx="110">
                  <c:v>310</c:v>
                </c:pt>
                <c:pt idx="111">
                  <c:v>300</c:v>
                </c:pt>
                <c:pt idx="112">
                  <c:v>290</c:v>
                </c:pt>
                <c:pt idx="113">
                  <c:v>280</c:v>
                </c:pt>
                <c:pt idx="114">
                  <c:v>270</c:v>
                </c:pt>
                <c:pt idx="115">
                  <c:v>260</c:v>
                </c:pt>
                <c:pt idx="116">
                  <c:v>250</c:v>
                </c:pt>
                <c:pt idx="117">
                  <c:v>240</c:v>
                </c:pt>
                <c:pt idx="118">
                  <c:v>230</c:v>
                </c:pt>
                <c:pt idx="119">
                  <c:v>220</c:v>
                </c:pt>
                <c:pt idx="120">
                  <c:v>212</c:v>
                </c:pt>
                <c:pt idx="121">
                  <c:v>210</c:v>
                </c:pt>
                <c:pt idx="122">
                  <c:v>200</c:v>
                </c:pt>
                <c:pt idx="123">
                  <c:v>190</c:v>
                </c:pt>
                <c:pt idx="124">
                  <c:v>180</c:v>
                </c:pt>
                <c:pt idx="125">
                  <c:v>170</c:v>
                </c:pt>
                <c:pt idx="126">
                  <c:v>160</c:v>
                </c:pt>
                <c:pt idx="127">
                  <c:v>150</c:v>
                </c:pt>
                <c:pt idx="128">
                  <c:v>140</c:v>
                </c:pt>
                <c:pt idx="129">
                  <c:v>130</c:v>
                </c:pt>
                <c:pt idx="130">
                  <c:v>120</c:v>
                </c:pt>
                <c:pt idx="131">
                  <c:v>110</c:v>
                </c:pt>
                <c:pt idx="132">
                  <c:v>100</c:v>
                </c:pt>
                <c:pt idx="133">
                  <c:v>98</c:v>
                </c:pt>
                <c:pt idx="134">
                  <c:v>96</c:v>
                </c:pt>
                <c:pt idx="135">
                  <c:v>94</c:v>
                </c:pt>
                <c:pt idx="136">
                  <c:v>92</c:v>
                </c:pt>
                <c:pt idx="137">
                  <c:v>90</c:v>
                </c:pt>
                <c:pt idx="138">
                  <c:v>88</c:v>
                </c:pt>
                <c:pt idx="139">
                  <c:v>86</c:v>
                </c:pt>
                <c:pt idx="140">
                  <c:v>84</c:v>
                </c:pt>
                <c:pt idx="141">
                  <c:v>82</c:v>
                </c:pt>
                <c:pt idx="142">
                  <c:v>80</c:v>
                </c:pt>
                <c:pt idx="143">
                  <c:v>78</c:v>
                </c:pt>
                <c:pt idx="144">
                  <c:v>76</c:v>
                </c:pt>
                <c:pt idx="145">
                  <c:v>74</c:v>
                </c:pt>
                <c:pt idx="146">
                  <c:v>72</c:v>
                </c:pt>
                <c:pt idx="147">
                  <c:v>70</c:v>
                </c:pt>
                <c:pt idx="148">
                  <c:v>68</c:v>
                </c:pt>
                <c:pt idx="149">
                  <c:v>66</c:v>
                </c:pt>
                <c:pt idx="150">
                  <c:v>64</c:v>
                </c:pt>
                <c:pt idx="151">
                  <c:v>62</c:v>
                </c:pt>
                <c:pt idx="152">
                  <c:v>60</c:v>
                </c:pt>
                <c:pt idx="153">
                  <c:v>58</c:v>
                </c:pt>
                <c:pt idx="154">
                  <c:v>56</c:v>
                </c:pt>
                <c:pt idx="155">
                  <c:v>54</c:v>
                </c:pt>
                <c:pt idx="156">
                  <c:v>52</c:v>
                </c:pt>
                <c:pt idx="157">
                  <c:v>50</c:v>
                </c:pt>
                <c:pt idx="158">
                  <c:v>45</c:v>
                </c:pt>
                <c:pt idx="159">
                  <c:v>40</c:v>
                </c:pt>
                <c:pt idx="160">
                  <c:v>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GraphicsEnglish!$Z$45</c:f>
              <c:strCache>
                <c:ptCount val="1"/>
                <c:pt idx="0">
                  <c:v>1 psia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GraphicsEnglish!$AC$44:$AC$56</c:f>
              <c:numCache>
                <c:formatCode>0.0000</c:formatCode>
                <c:ptCount val="13"/>
                <c:pt idx="0">
                  <c:v>0.13270000000000001</c:v>
                </c:pt>
                <c:pt idx="1">
                  <c:v>1.9779</c:v>
                </c:pt>
                <c:pt idx="2">
                  <c:v>2.0150999999999999</c:v>
                </c:pt>
                <c:pt idx="3">
                  <c:v>2.0508000000000002</c:v>
                </c:pt>
                <c:pt idx="4">
                  <c:v>2.0838999999999999</c:v>
                </c:pt>
                <c:pt idx="5">
                  <c:v>2.1150000000000002</c:v>
                </c:pt>
                <c:pt idx="6">
                  <c:v>2.1720000000000002</c:v>
                </c:pt>
                <c:pt idx="7">
                  <c:v>2.2235</c:v>
                </c:pt>
                <c:pt idx="8">
                  <c:v>2.2706</c:v>
                </c:pt>
                <c:pt idx="9">
                  <c:v>2.3142</c:v>
                </c:pt>
                <c:pt idx="10">
                  <c:v>2.355</c:v>
                </c:pt>
                <c:pt idx="11">
                  <c:v>2.3932000000000002</c:v>
                </c:pt>
                <c:pt idx="12">
                  <c:v>2.4293999999999998</c:v>
                </c:pt>
              </c:numCache>
            </c:numRef>
          </c:xVal>
          <c:yVal>
            <c:numRef>
              <c:f>GraphicsEnglish!$AB$44:$AB$56</c:f>
              <c:numCache>
                <c:formatCode>General</c:formatCode>
                <c:ptCount val="13"/>
                <c:pt idx="0">
                  <c:v>101.7</c:v>
                </c:pt>
                <c:pt idx="1">
                  <c:v>101.7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GraphicsEnglish!$Z$58</c:f>
              <c:strCache>
                <c:ptCount val="1"/>
                <c:pt idx="0">
                  <c:v>14.7 psia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GraphicsEnglish!$AC$57:$AC$67</c:f>
              <c:numCache>
                <c:formatCode>0.0000</c:formatCode>
                <c:ptCount val="11"/>
                <c:pt idx="0">
                  <c:v>0.31209999999999999</c:v>
                </c:pt>
                <c:pt idx="1">
                  <c:v>1.7566999999999999</c:v>
                </c:pt>
                <c:pt idx="2">
                  <c:v>1.7831999999999999</c:v>
                </c:pt>
                <c:pt idx="3">
                  <c:v>1.8157000000000001</c:v>
                </c:pt>
                <c:pt idx="4">
                  <c:v>1.8741000000000001</c:v>
                </c:pt>
                <c:pt idx="5">
                  <c:v>1.9262999999999999</c:v>
                </c:pt>
                <c:pt idx="6">
                  <c:v>1.9737</c:v>
                </c:pt>
                <c:pt idx="7">
                  <c:v>2.0175000000000001</c:v>
                </c:pt>
                <c:pt idx="8">
                  <c:v>2.0583999999999998</c:v>
                </c:pt>
                <c:pt idx="9">
                  <c:v>2.0966999999999998</c:v>
                </c:pt>
                <c:pt idx="10">
                  <c:v>2.133</c:v>
                </c:pt>
              </c:numCache>
            </c:numRef>
          </c:xVal>
          <c:yVal>
            <c:numRef>
              <c:f>GraphicsEnglish!$AB$57:$AB$67</c:f>
              <c:numCache>
                <c:formatCode>General</c:formatCode>
                <c:ptCount val="11"/>
                <c:pt idx="0">
                  <c:v>212</c:v>
                </c:pt>
                <c:pt idx="1">
                  <c:v>212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GraphicsEnglish!$Z$70</c:f>
              <c:strCache>
                <c:ptCount val="1"/>
                <c:pt idx="0">
                  <c:v>120 psia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GraphicsEnglish!$AC$69:$AC$79</c:f>
              <c:numCache>
                <c:formatCode>0.0000</c:formatCode>
                <c:ptCount val="11"/>
                <c:pt idx="0">
                  <c:v>0.49199999999999999</c:v>
                </c:pt>
                <c:pt idx="1">
                  <c:v>1.5886</c:v>
                </c:pt>
                <c:pt idx="2">
                  <c:v>1.595</c:v>
                </c:pt>
                <c:pt idx="3">
                  <c:v>1.6288</c:v>
                </c:pt>
                <c:pt idx="4">
                  <c:v>1.659</c:v>
                </c:pt>
                <c:pt idx="5">
                  <c:v>1.6868000000000001</c:v>
                </c:pt>
                <c:pt idx="6">
                  <c:v>1.7371000000000001</c:v>
                </c:pt>
                <c:pt idx="7">
                  <c:v>1.7825</c:v>
                </c:pt>
                <c:pt idx="8">
                  <c:v>1.8243</c:v>
                </c:pt>
                <c:pt idx="9">
                  <c:v>1.8633</c:v>
                </c:pt>
                <c:pt idx="10">
                  <c:v>1.9</c:v>
                </c:pt>
              </c:numCache>
            </c:numRef>
          </c:xVal>
          <c:yVal>
            <c:numRef>
              <c:f>GraphicsEnglish!$AB$69:$AB$79</c:f>
              <c:numCache>
                <c:formatCode>General</c:formatCode>
                <c:ptCount val="11"/>
                <c:pt idx="0">
                  <c:v>341.3</c:v>
                </c:pt>
                <c:pt idx="1">
                  <c:v>341.3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GraphicsEnglish!$Z$83</c:f>
              <c:strCache>
                <c:ptCount val="1"/>
                <c:pt idx="0">
                  <c:v>350 psia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GraphicsEnglish!$AC$82:$AC$91</c:f>
              <c:numCache>
                <c:formatCode>0.0000</c:formatCode>
                <c:ptCount val="10"/>
                <c:pt idx="0">
                  <c:v>0.60599999999999998</c:v>
                </c:pt>
                <c:pt idx="1">
                  <c:v>1.4978</c:v>
                </c:pt>
                <c:pt idx="2">
                  <c:v>1.5125</c:v>
                </c:pt>
                <c:pt idx="3">
                  <c:v>1.5482</c:v>
                </c:pt>
                <c:pt idx="4">
                  <c:v>1.579</c:v>
                </c:pt>
                <c:pt idx="5">
                  <c:v>1.6068</c:v>
                </c:pt>
                <c:pt idx="6">
                  <c:v>1.6561999999999999</c:v>
                </c:pt>
                <c:pt idx="7">
                  <c:v>1.7003999999999999</c:v>
                </c:pt>
                <c:pt idx="8">
                  <c:v>1.7408999999999999</c:v>
                </c:pt>
                <c:pt idx="9">
                  <c:v>1.7786999999999999</c:v>
                </c:pt>
              </c:numCache>
            </c:numRef>
          </c:xVal>
          <c:yVal>
            <c:numRef>
              <c:f>GraphicsEnglish!$AB$82:$AB$91</c:f>
              <c:numCache>
                <c:formatCode>General</c:formatCode>
                <c:ptCount val="10"/>
                <c:pt idx="0">
                  <c:v>431.8</c:v>
                </c:pt>
                <c:pt idx="1">
                  <c:v>431.8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GraphicsEnglish!$Z$96</c:f>
              <c:strCache>
                <c:ptCount val="1"/>
                <c:pt idx="0">
                  <c:v>900 psia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GraphicsEnglish!$AC$95:$AC$103</c:f>
              <c:numCache>
                <c:formatCode>0.0000</c:formatCode>
                <c:ptCount val="9"/>
                <c:pt idx="0">
                  <c:v>0.72770000000000001</c:v>
                </c:pt>
                <c:pt idx="1">
                  <c:v>1.4027000000000001</c:v>
                </c:pt>
                <c:pt idx="2">
                  <c:v>1.4218999999999999</c:v>
                </c:pt>
                <c:pt idx="3">
                  <c:v>1.4652000000000001</c:v>
                </c:pt>
                <c:pt idx="4">
                  <c:v>1.4999</c:v>
                </c:pt>
                <c:pt idx="5">
                  <c:v>1.5297000000000001</c:v>
                </c:pt>
                <c:pt idx="6">
                  <c:v>1.581</c:v>
                </c:pt>
                <c:pt idx="7">
                  <c:v>1.6256999999999999</c:v>
                </c:pt>
                <c:pt idx="8">
                  <c:v>1.6661999999999999</c:v>
                </c:pt>
              </c:numCache>
            </c:numRef>
          </c:xVal>
          <c:yVal>
            <c:numRef>
              <c:f>GraphicsEnglish!$AB$95:$AB$103</c:f>
              <c:numCache>
                <c:formatCode>General</c:formatCode>
                <c:ptCount val="9"/>
                <c:pt idx="0">
                  <c:v>532.1</c:v>
                </c:pt>
                <c:pt idx="1">
                  <c:v>532.1</c:v>
                </c:pt>
                <c:pt idx="2">
                  <c:v>550</c:v>
                </c:pt>
                <c:pt idx="3">
                  <c:v>600</c:v>
                </c:pt>
                <c:pt idx="4">
                  <c:v>650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GraphicsEnglish!$Z$109</c:f>
              <c:strCache>
                <c:ptCount val="1"/>
                <c:pt idx="0">
                  <c:v>2000 psia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GraphicsEnglish!$AC$108:$AC$115</c:f>
              <c:numCache>
                <c:formatCode>0.0000</c:formatCode>
                <c:ptCount val="8"/>
                <c:pt idx="0">
                  <c:v>0.86229999999999996</c:v>
                </c:pt>
                <c:pt idx="1">
                  <c:v>1.2861</c:v>
                </c:pt>
                <c:pt idx="2">
                  <c:v>1.3141</c:v>
                </c:pt>
                <c:pt idx="3">
                  <c:v>1.3782000000000001</c:v>
                </c:pt>
                <c:pt idx="4">
                  <c:v>1.4216</c:v>
                </c:pt>
                <c:pt idx="5">
                  <c:v>1.4561999999999999</c:v>
                </c:pt>
                <c:pt idx="6">
                  <c:v>1.5125999999999999</c:v>
                </c:pt>
                <c:pt idx="7">
                  <c:v>1.5598000000000001</c:v>
                </c:pt>
              </c:numCache>
            </c:numRef>
          </c:xVal>
          <c:yVal>
            <c:numRef>
              <c:f>GraphicsEnglish!$AB$108:$AB$115</c:f>
              <c:numCache>
                <c:formatCode>General</c:formatCode>
                <c:ptCount val="8"/>
                <c:pt idx="0">
                  <c:v>636</c:v>
                </c:pt>
                <c:pt idx="1">
                  <c:v>636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96256"/>
        <c:axId val="258573824"/>
      </c:scatterChart>
      <c:valAx>
        <c:axId val="25729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Entropy, </a:t>
                </a:r>
                <a:r>
                  <a:rPr lang="en-US" baseline="0"/>
                  <a:t>s (Btu/lbm R)</a:t>
                </a:r>
                <a:endParaRPr lang="en-US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258573824"/>
        <c:crosses val="autoZero"/>
        <c:crossBetween val="midCat"/>
      </c:valAx>
      <c:valAx>
        <c:axId val="25857382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(deg</a:t>
                </a:r>
                <a:r>
                  <a:rPr lang="en-US" baseline="0"/>
                  <a:t> F)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572962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VaporDome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GraphicsEnglish!$H$44:$H$184</c:f>
              <c:numCache>
                <c:formatCode>0.00000</c:formatCode>
                <c:ptCount val="141"/>
                <c:pt idx="0">
                  <c:v>1.6060000000000001E-2</c:v>
                </c:pt>
                <c:pt idx="1">
                  <c:v>1.609E-2</c:v>
                </c:pt>
                <c:pt idx="2">
                  <c:v>1.6109999999999999E-2</c:v>
                </c:pt>
                <c:pt idx="3">
                  <c:v>1.6140000000000002E-2</c:v>
                </c:pt>
                <c:pt idx="4">
                  <c:v>1.6160000000000001E-2</c:v>
                </c:pt>
                <c:pt idx="5">
                  <c:v>1.619E-2</c:v>
                </c:pt>
                <c:pt idx="6">
                  <c:v>1.6230000000000001E-2</c:v>
                </c:pt>
                <c:pt idx="7">
                  <c:v>1.6299999999999999E-2</c:v>
                </c:pt>
                <c:pt idx="8">
                  <c:v>1.636E-2</c:v>
                </c:pt>
                <c:pt idx="9">
                  <c:v>1.6410000000000001E-2</c:v>
                </c:pt>
                <c:pt idx="10">
                  <c:v>1.6449999999999999E-2</c:v>
                </c:pt>
                <c:pt idx="11">
                  <c:v>1.6490000000000001E-2</c:v>
                </c:pt>
                <c:pt idx="12">
                  <c:v>1.653E-2</c:v>
                </c:pt>
                <c:pt idx="13">
                  <c:v>1.6559999999999998E-2</c:v>
                </c:pt>
                <c:pt idx="14">
                  <c:v>1.6590000000000001E-2</c:v>
                </c:pt>
                <c:pt idx="15">
                  <c:v>1.6719999999999999E-2</c:v>
                </c:pt>
                <c:pt idx="16">
                  <c:v>1.6719999999999999E-2</c:v>
                </c:pt>
                <c:pt idx="17">
                  <c:v>1.6830000000000001E-2</c:v>
                </c:pt>
                <c:pt idx="18">
                  <c:v>1.6920000000000001E-2</c:v>
                </c:pt>
                <c:pt idx="19">
                  <c:v>1.7000000000000001E-2</c:v>
                </c:pt>
                <c:pt idx="20">
                  <c:v>1.7080000000000001E-2</c:v>
                </c:pt>
                <c:pt idx="21">
                  <c:v>1.7149999999999999E-2</c:v>
                </c:pt>
                <c:pt idx="22">
                  <c:v>1.721E-2</c:v>
                </c:pt>
                <c:pt idx="23">
                  <c:v>1.7270000000000001E-2</c:v>
                </c:pt>
                <c:pt idx="24">
                  <c:v>1.7330000000000002E-2</c:v>
                </c:pt>
                <c:pt idx="25">
                  <c:v>1.738E-2</c:v>
                </c:pt>
                <c:pt idx="26">
                  <c:v>1.7430000000000001E-2</c:v>
                </c:pt>
                <c:pt idx="27">
                  <c:v>1.7479999999999999E-2</c:v>
                </c:pt>
                <c:pt idx="28">
                  <c:v>1.7520000000000001E-2</c:v>
                </c:pt>
                <c:pt idx="29">
                  <c:v>1.7569999999999999E-2</c:v>
                </c:pt>
                <c:pt idx="30">
                  <c:v>1.7610000000000001E-2</c:v>
                </c:pt>
                <c:pt idx="31">
                  <c:v>1.7659999999999999E-2</c:v>
                </c:pt>
                <c:pt idx="32">
                  <c:v>1.77E-2</c:v>
                </c:pt>
                <c:pt idx="33">
                  <c:v>1.7739999999999999E-2</c:v>
                </c:pt>
                <c:pt idx="34">
                  <c:v>1.7809999999999999E-2</c:v>
                </c:pt>
                <c:pt idx="35">
                  <c:v>1.789E-2</c:v>
                </c:pt>
                <c:pt idx="36">
                  <c:v>1.796E-2</c:v>
                </c:pt>
                <c:pt idx="37">
                  <c:v>1.8020000000000001E-2</c:v>
                </c:pt>
                <c:pt idx="38">
                  <c:v>1.8089999999999998E-2</c:v>
                </c:pt>
                <c:pt idx="39">
                  <c:v>1.8149999999999999E-2</c:v>
                </c:pt>
                <c:pt idx="40">
                  <c:v>1.821E-2</c:v>
                </c:pt>
                <c:pt idx="41">
                  <c:v>1.8270000000000002E-2</c:v>
                </c:pt>
                <c:pt idx="42">
                  <c:v>1.8329999999999999E-2</c:v>
                </c:pt>
                <c:pt idx="43">
                  <c:v>1.839E-2</c:v>
                </c:pt>
                <c:pt idx="44">
                  <c:v>1.865E-2</c:v>
                </c:pt>
                <c:pt idx="45">
                  <c:v>1.89E-2</c:v>
                </c:pt>
                <c:pt idx="46">
                  <c:v>1.9120000000000002E-2</c:v>
                </c:pt>
                <c:pt idx="47">
                  <c:v>1.934E-2</c:v>
                </c:pt>
                <c:pt idx="48">
                  <c:v>1.9550000000000001E-2</c:v>
                </c:pt>
                <c:pt idx="49">
                  <c:v>1.975E-2</c:v>
                </c:pt>
                <c:pt idx="50">
                  <c:v>1.9939999999999999E-2</c:v>
                </c:pt>
                <c:pt idx="51">
                  <c:v>2.0129999999999999E-2</c:v>
                </c:pt>
                <c:pt idx="52">
                  <c:v>2.051E-2</c:v>
                </c:pt>
                <c:pt idx="53">
                  <c:v>2.087E-2</c:v>
                </c:pt>
                <c:pt idx="54">
                  <c:v>2.1229999999999999E-2</c:v>
                </c:pt>
                <c:pt idx="55">
                  <c:v>2.1590000000000002E-2</c:v>
                </c:pt>
                <c:pt idx="56">
                  <c:v>2.1950000000000001E-2</c:v>
                </c:pt>
                <c:pt idx="57">
                  <c:v>2.232E-2</c:v>
                </c:pt>
                <c:pt idx="58">
                  <c:v>2.2689999999999998E-2</c:v>
                </c:pt>
                <c:pt idx="59">
                  <c:v>2.307E-2</c:v>
                </c:pt>
                <c:pt idx="60">
                  <c:v>2.3460000000000002E-2</c:v>
                </c:pt>
                <c:pt idx="61">
                  <c:v>2.3859999999999999E-2</c:v>
                </c:pt>
                <c:pt idx="62">
                  <c:v>2.4279999999999999E-2</c:v>
                </c:pt>
                <c:pt idx="63">
                  <c:v>2.4719999999999999E-2</c:v>
                </c:pt>
                <c:pt idx="64">
                  <c:v>2.5170000000000001E-2</c:v>
                </c:pt>
                <c:pt idx="65">
                  <c:v>2.5649999999999999E-2</c:v>
                </c:pt>
                <c:pt idx="66">
                  <c:v>2.6980000000000001E-2</c:v>
                </c:pt>
                <c:pt idx="67">
                  <c:v>2.86E-2</c:v>
                </c:pt>
                <c:pt idx="68">
                  <c:v>3.0769999999999999E-2</c:v>
                </c:pt>
                <c:pt idx="69">
                  <c:v>3.431E-2</c:v>
                </c:pt>
                <c:pt idx="70">
                  <c:v>5.0529999999999999E-2</c:v>
                </c:pt>
                <c:pt idx="71">
                  <c:v>8.4000000000000005E-2</c:v>
                </c:pt>
                <c:pt idx="72">
                  <c:v>0.107</c:v>
                </c:pt>
                <c:pt idx="73">
                  <c:v>0.13100000000000001</c:v>
                </c:pt>
                <c:pt idx="74">
                  <c:v>0.157</c:v>
                </c:pt>
                <c:pt idx="75">
                  <c:v>0.188</c:v>
                </c:pt>
                <c:pt idx="76">
                  <c:v>0.20300000000000001</c:v>
                </c:pt>
                <c:pt idx="77">
                  <c:v>0.218</c:v>
                </c:pt>
                <c:pt idx="78">
                  <c:v>0.23599999999999999</c:v>
                </c:pt>
                <c:pt idx="79">
                  <c:v>0.255</c:v>
                </c:pt>
                <c:pt idx="80">
                  <c:v>0.27700000000000002</c:v>
                </c:pt>
                <c:pt idx="81">
                  <c:v>0.30199999999999999</c:v>
                </c:pt>
                <c:pt idx="82">
                  <c:v>0.33</c:v>
                </c:pt>
                <c:pt idx="83">
                  <c:v>0.36199999999999999</c:v>
                </c:pt>
                <c:pt idx="84">
                  <c:v>0.40100000000000002</c:v>
                </c:pt>
                <c:pt idx="85">
                  <c:v>0.44600000000000001</c:v>
                </c:pt>
                <c:pt idx="86">
                  <c:v>0.501</c:v>
                </c:pt>
                <c:pt idx="87">
                  <c:v>0.56899999999999995</c:v>
                </c:pt>
                <c:pt idx="88">
                  <c:v>0.65600000000000003</c:v>
                </c:pt>
                <c:pt idx="89">
                  <c:v>0.77</c:v>
                </c:pt>
                <c:pt idx="90">
                  <c:v>0.84199999999999997</c:v>
                </c:pt>
                <c:pt idx="91">
                  <c:v>0.92800000000000005</c:v>
                </c:pt>
                <c:pt idx="92">
                  <c:v>1.0329999999999999</c:v>
                </c:pt>
                <c:pt idx="93">
                  <c:v>1.1619999999999999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</c:numCache>
            </c:numRef>
          </c:xVal>
          <c:yVal>
            <c:numRef>
              <c:f>GraphicsEnglish!$B$44:$B$184</c:f>
              <c:numCache>
                <c:formatCode>0.0</c:formatCode>
                <c:ptCount val="141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 formatCode="General">
                  <c:v>14.696</c:v>
                </c:pt>
                <c:pt idx="16" formatCode="General">
                  <c:v>15</c:v>
                </c:pt>
                <c:pt idx="17" formatCode="General">
                  <c:v>20</c:v>
                </c:pt>
                <c:pt idx="18" formatCode="General">
                  <c:v>25</c:v>
                </c:pt>
                <c:pt idx="19" formatCode="General">
                  <c:v>30</c:v>
                </c:pt>
                <c:pt idx="20" formatCode="General">
                  <c:v>35</c:v>
                </c:pt>
                <c:pt idx="21" formatCode="General">
                  <c:v>40</c:v>
                </c:pt>
                <c:pt idx="22" formatCode="General">
                  <c:v>45</c:v>
                </c:pt>
                <c:pt idx="23" formatCode="General">
                  <c:v>50</c:v>
                </c:pt>
                <c:pt idx="24" formatCode="General">
                  <c:v>55</c:v>
                </c:pt>
                <c:pt idx="25" formatCode="General">
                  <c:v>60</c:v>
                </c:pt>
                <c:pt idx="26" formatCode="General">
                  <c:v>65</c:v>
                </c:pt>
                <c:pt idx="27" formatCode="General">
                  <c:v>70</c:v>
                </c:pt>
                <c:pt idx="28" formatCode="General">
                  <c:v>75</c:v>
                </c:pt>
                <c:pt idx="29" formatCode="General">
                  <c:v>80</c:v>
                </c:pt>
                <c:pt idx="30" formatCode="General">
                  <c:v>85</c:v>
                </c:pt>
                <c:pt idx="31" formatCode="General">
                  <c:v>90</c:v>
                </c:pt>
                <c:pt idx="32" formatCode="General">
                  <c:v>95</c:v>
                </c:pt>
                <c:pt idx="33" formatCode="General">
                  <c:v>100</c:v>
                </c:pt>
                <c:pt idx="34" formatCode="General">
                  <c:v>110</c:v>
                </c:pt>
                <c:pt idx="35" formatCode="General">
                  <c:v>120</c:v>
                </c:pt>
                <c:pt idx="36" formatCode="General">
                  <c:v>130</c:v>
                </c:pt>
                <c:pt idx="37" formatCode="General">
                  <c:v>140</c:v>
                </c:pt>
                <c:pt idx="38" formatCode="General">
                  <c:v>150</c:v>
                </c:pt>
                <c:pt idx="39" formatCode="General">
                  <c:v>160</c:v>
                </c:pt>
                <c:pt idx="40" formatCode="General">
                  <c:v>170</c:v>
                </c:pt>
                <c:pt idx="41" formatCode="General">
                  <c:v>180</c:v>
                </c:pt>
                <c:pt idx="42" formatCode="General">
                  <c:v>190</c:v>
                </c:pt>
                <c:pt idx="43" formatCode="General">
                  <c:v>200</c:v>
                </c:pt>
                <c:pt idx="44" formatCode="General">
                  <c:v>250</c:v>
                </c:pt>
                <c:pt idx="45" formatCode="General">
                  <c:v>300</c:v>
                </c:pt>
                <c:pt idx="46" formatCode="General">
                  <c:v>350</c:v>
                </c:pt>
                <c:pt idx="47" formatCode="General">
                  <c:v>400</c:v>
                </c:pt>
                <c:pt idx="48" formatCode="General">
                  <c:v>450</c:v>
                </c:pt>
                <c:pt idx="49" formatCode="General">
                  <c:v>500</c:v>
                </c:pt>
                <c:pt idx="50" formatCode="General">
                  <c:v>550</c:v>
                </c:pt>
                <c:pt idx="51" formatCode="General">
                  <c:v>600</c:v>
                </c:pt>
                <c:pt idx="52" formatCode="General">
                  <c:v>700</c:v>
                </c:pt>
                <c:pt idx="53" formatCode="General">
                  <c:v>800</c:v>
                </c:pt>
                <c:pt idx="54" formatCode="General">
                  <c:v>900</c:v>
                </c:pt>
                <c:pt idx="55" formatCode="General">
                  <c:v>1000</c:v>
                </c:pt>
                <c:pt idx="56" formatCode="General">
                  <c:v>1100</c:v>
                </c:pt>
                <c:pt idx="57" formatCode="General">
                  <c:v>1200</c:v>
                </c:pt>
                <c:pt idx="58" formatCode="General">
                  <c:v>1300</c:v>
                </c:pt>
                <c:pt idx="59" formatCode="General">
                  <c:v>1400</c:v>
                </c:pt>
                <c:pt idx="60" formatCode="General">
                  <c:v>1500</c:v>
                </c:pt>
                <c:pt idx="61" formatCode="General">
                  <c:v>1600</c:v>
                </c:pt>
                <c:pt idx="62" formatCode="General">
                  <c:v>1700</c:v>
                </c:pt>
                <c:pt idx="63" formatCode="General">
                  <c:v>1800</c:v>
                </c:pt>
                <c:pt idx="64" formatCode="General">
                  <c:v>1900</c:v>
                </c:pt>
                <c:pt idx="65" formatCode="General">
                  <c:v>2000</c:v>
                </c:pt>
                <c:pt idx="66" formatCode="General">
                  <c:v>2250</c:v>
                </c:pt>
                <c:pt idx="67" formatCode="General">
                  <c:v>2500</c:v>
                </c:pt>
                <c:pt idx="68" formatCode="General">
                  <c:v>2750</c:v>
                </c:pt>
                <c:pt idx="69" formatCode="General">
                  <c:v>3000</c:v>
                </c:pt>
                <c:pt idx="70" formatCode="General">
                  <c:v>3203.6</c:v>
                </c:pt>
                <c:pt idx="71" formatCode="General">
                  <c:v>3000</c:v>
                </c:pt>
                <c:pt idx="72" formatCode="General">
                  <c:v>2750</c:v>
                </c:pt>
                <c:pt idx="73" formatCode="General">
                  <c:v>2500</c:v>
                </c:pt>
                <c:pt idx="74" formatCode="General">
                  <c:v>2250</c:v>
                </c:pt>
                <c:pt idx="75" formatCode="General">
                  <c:v>2000</c:v>
                </c:pt>
                <c:pt idx="76" formatCode="General">
                  <c:v>1900</c:v>
                </c:pt>
                <c:pt idx="77" formatCode="General">
                  <c:v>1800</c:v>
                </c:pt>
                <c:pt idx="78" formatCode="General">
                  <c:v>1700</c:v>
                </c:pt>
                <c:pt idx="79" formatCode="General">
                  <c:v>1600</c:v>
                </c:pt>
                <c:pt idx="80" formatCode="General">
                  <c:v>1500</c:v>
                </c:pt>
                <c:pt idx="81" formatCode="General">
                  <c:v>1400</c:v>
                </c:pt>
                <c:pt idx="82" formatCode="General">
                  <c:v>1300</c:v>
                </c:pt>
                <c:pt idx="83" formatCode="General">
                  <c:v>1200</c:v>
                </c:pt>
                <c:pt idx="84" formatCode="General">
                  <c:v>1100</c:v>
                </c:pt>
                <c:pt idx="85" formatCode="General">
                  <c:v>1000</c:v>
                </c:pt>
                <c:pt idx="86" formatCode="General">
                  <c:v>900</c:v>
                </c:pt>
                <c:pt idx="87" formatCode="General">
                  <c:v>800</c:v>
                </c:pt>
                <c:pt idx="88" formatCode="General">
                  <c:v>700</c:v>
                </c:pt>
                <c:pt idx="89" formatCode="General">
                  <c:v>600</c:v>
                </c:pt>
                <c:pt idx="90" formatCode="General">
                  <c:v>550</c:v>
                </c:pt>
                <c:pt idx="91" formatCode="General">
                  <c:v>500</c:v>
                </c:pt>
                <c:pt idx="92" formatCode="General">
                  <c:v>450</c:v>
                </c:pt>
                <c:pt idx="93" formatCode="General">
                  <c:v>400</c:v>
                </c:pt>
                <c:pt idx="94" formatCode="General">
                  <c:v>350</c:v>
                </c:pt>
                <c:pt idx="95" formatCode="General">
                  <c:v>300</c:v>
                </c:pt>
                <c:pt idx="96" formatCode="General">
                  <c:v>250</c:v>
                </c:pt>
                <c:pt idx="97" formatCode="General">
                  <c:v>200</c:v>
                </c:pt>
                <c:pt idx="98" formatCode="General">
                  <c:v>190</c:v>
                </c:pt>
                <c:pt idx="99" formatCode="General">
                  <c:v>180</c:v>
                </c:pt>
                <c:pt idx="100" formatCode="General">
                  <c:v>170</c:v>
                </c:pt>
                <c:pt idx="101" formatCode="General">
                  <c:v>160</c:v>
                </c:pt>
                <c:pt idx="102" formatCode="General">
                  <c:v>150</c:v>
                </c:pt>
                <c:pt idx="103" formatCode="General">
                  <c:v>140</c:v>
                </c:pt>
                <c:pt idx="104" formatCode="General">
                  <c:v>130</c:v>
                </c:pt>
                <c:pt idx="105" formatCode="General">
                  <c:v>120</c:v>
                </c:pt>
                <c:pt idx="106" formatCode="General">
                  <c:v>110</c:v>
                </c:pt>
                <c:pt idx="107" formatCode="General">
                  <c:v>100</c:v>
                </c:pt>
                <c:pt idx="108" formatCode="General">
                  <c:v>95</c:v>
                </c:pt>
                <c:pt idx="109" formatCode="General">
                  <c:v>90</c:v>
                </c:pt>
                <c:pt idx="110" formatCode="General">
                  <c:v>85</c:v>
                </c:pt>
                <c:pt idx="111" formatCode="General">
                  <c:v>80</c:v>
                </c:pt>
                <c:pt idx="112" formatCode="General">
                  <c:v>75</c:v>
                </c:pt>
                <c:pt idx="113" formatCode="General">
                  <c:v>70</c:v>
                </c:pt>
                <c:pt idx="114" formatCode="General">
                  <c:v>65</c:v>
                </c:pt>
                <c:pt idx="115" formatCode="General">
                  <c:v>60</c:v>
                </c:pt>
                <c:pt idx="116" formatCode="General">
                  <c:v>55</c:v>
                </c:pt>
                <c:pt idx="117" formatCode="General">
                  <c:v>50</c:v>
                </c:pt>
                <c:pt idx="118" formatCode="General">
                  <c:v>45</c:v>
                </c:pt>
                <c:pt idx="119" formatCode="General">
                  <c:v>40</c:v>
                </c:pt>
                <c:pt idx="120" formatCode="General">
                  <c:v>35</c:v>
                </c:pt>
                <c:pt idx="121" formatCode="General">
                  <c:v>30</c:v>
                </c:pt>
                <c:pt idx="122" formatCode="General">
                  <c:v>25</c:v>
                </c:pt>
                <c:pt idx="123" formatCode="General">
                  <c:v>20</c:v>
                </c:pt>
                <c:pt idx="124" formatCode="General">
                  <c:v>15</c:v>
                </c:pt>
                <c:pt idx="125" formatCode="General">
                  <c:v>14.696</c:v>
                </c:pt>
                <c:pt idx="126" formatCode="General">
                  <c:v>10</c:v>
                </c:pt>
                <c:pt idx="127" formatCode="General">
                  <c:v>9</c:v>
                </c:pt>
                <c:pt idx="128" formatCode="General">
                  <c:v>8</c:v>
                </c:pt>
                <c:pt idx="129" formatCode="General">
                  <c:v>7</c:v>
                </c:pt>
                <c:pt idx="130" formatCode="General">
                  <c:v>6</c:v>
                </c:pt>
                <c:pt idx="131" formatCode="General">
                  <c:v>5</c:v>
                </c:pt>
                <c:pt idx="132" formatCode="General">
                  <c:v>4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1.5</c:v>
                </c:pt>
                <c:pt idx="136" formatCode="General">
                  <c:v>1.2</c:v>
                </c:pt>
                <c:pt idx="137" formatCode="General">
                  <c:v>1</c:v>
                </c:pt>
                <c:pt idx="138" formatCode="General">
                  <c:v>0.8</c:v>
                </c:pt>
                <c:pt idx="139" formatCode="General">
                  <c:v>0.6</c:v>
                </c:pt>
                <c:pt idx="140" formatCode="General">
                  <c:v>0.4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GraphicsEnglish!$AP$47</c:f>
              <c:strCache>
                <c:ptCount val="1"/>
                <c:pt idx="0">
                  <c:v>P*v=450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GraphicsEnglish!$AQ$51:$AQ$101</c:f>
              <c:numCache>
                <c:formatCode>0.000</c:formatCode>
                <c:ptCount val="51"/>
                <c:pt idx="0">
                  <c:v>0.15</c:v>
                </c:pt>
                <c:pt idx="1">
                  <c:v>0.17099999999999999</c:v>
                </c:pt>
                <c:pt idx="2">
                  <c:v>0.19199999999999998</c:v>
                </c:pt>
                <c:pt idx="3">
                  <c:v>0.21299999999999997</c:v>
                </c:pt>
                <c:pt idx="4">
                  <c:v>0.23399999999999996</c:v>
                </c:pt>
                <c:pt idx="5">
                  <c:v>0.25499999999999995</c:v>
                </c:pt>
                <c:pt idx="6">
                  <c:v>0.27599999999999997</c:v>
                </c:pt>
                <c:pt idx="7">
                  <c:v>0.29699999999999999</c:v>
                </c:pt>
                <c:pt idx="8">
                  <c:v>0.318</c:v>
                </c:pt>
                <c:pt idx="9">
                  <c:v>0.33900000000000002</c:v>
                </c:pt>
                <c:pt idx="10">
                  <c:v>0.36000000000000004</c:v>
                </c:pt>
                <c:pt idx="11">
                  <c:v>0.38100000000000006</c:v>
                </c:pt>
                <c:pt idx="12">
                  <c:v>0.40200000000000008</c:v>
                </c:pt>
                <c:pt idx="13">
                  <c:v>0.4230000000000001</c:v>
                </c:pt>
                <c:pt idx="14">
                  <c:v>0.44400000000000012</c:v>
                </c:pt>
                <c:pt idx="15">
                  <c:v>0.46500000000000014</c:v>
                </c:pt>
                <c:pt idx="16">
                  <c:v>0.48600000000000015</c:v>
                </c:pt>
                <c:pt idx="17">
                  <c:v>0.50700000000000012</c:v>
                </c:pt>
                <c:pt idx="18">
                  <c:v>0.52800000000000014</c:v>
                </c:pt>
                <c:pt idx="19">
                  <c:v>0.54900000000000015</c:v>
                </c:pt>
                <c:pt idx="20">
                  <c:v>0.57000000000000017</c:v>
                </c:pt>
                <c:pt idx="21">
                  <c:v>0.59100000000000019</c:v>
                </c:pt>
                <c:pt idx="22">
                  <c:v>0.61200000000000021</c:v>
                </c:pt>
                <c:pt idx="23">
                  <c:v>0.63300000000000023</c:v>
                </c:pt>
                <c:pt idx="24">
                  <c:v>0.65400000000000025</c:v>
                </c:pt>
                <c:pt idx="25">
                  <c:v>0.67500000000000027</c:v>
                </c:pt>
                <c:pt idx="26">
                  <c:v>0.69600000000000029</c:v>
                </c:pt>
                <c:pt idx="27">
                  <c:v>0.7170000000000003</c:v>
                </c:pt>
                <c:pt idx="28">
                  <c:v>0.73800000000000032</c:v>
                </c:pt>
                <c:pt idx="29">
                  <c:v>0.75900000000000034</c:v>
                </c:pt>
                <c:pt idx="30">
                  <c:v>0.78000000000000036</c:v>
                </c:pt>
                <c:pt idx="31">
                  <c:v>0.80100000000000038</c:v>
                </c:pt>
                <c:pt idx="32">
                  <c:v>0.8220000000000004</c:v>
                </c:pt>
                <c:pt idx="33">
                  <c:v>0.84300000000000042</c:v>
                </c:pt>
                <c:pt idx="34">
                  <c:v>0.86400000000000043</c:v>
                </c:pt>
                <c:pt idx="35">
                  <c:v>0.88500000000000045</c:v>
                </c:pt>
                <c:pt idx="36">
                  <c:v>0.90600000000000047</c:v>
                </c:pt>
                <c:pt idx="37">
                  <c:v>0.92700000000000049</c:v>
                </c:pt>
                <c:pt idx="38">
                  <c:v>0.94800000000000051</c:v>
                </c:pt>
                <c:pt idx="39">
                  <c:v>0.96900000000000053</c:v>
                </c:pt>
                <c:pt idx="40">
                  <c:v>0.99000000000000055</c:v>
                </c:pt>
                <c:pt idx="41">
                  <c:v>1.0110000000000006</c:v>
                </c:pt>
                <c:pt idx="42">
                  <c:v>1.0320000000000005</c:v>
                </c:pt>
                <c:pt idx="43">
                  <c:v>1.0530000000000004</c:v>
                </c:pt>
                <c:pt idx="44">
                  <c:v>1.0740000000000003</c:v>
                </c:pt>
                <c:pt idx="45">
                  <c:v>1.0950000000000002</c:v>
                </c:pt>
                <c:pt idx="46">
                  <c:v>1.1160000000000001</c:v>
                </c:pt>
                <c:pt idx="47">
                  <c:v>1.137</c:v>
                </c:pt>
                <c:pt idx="48">
                  <c:v>1.1579999999999999</c:v>
                </c:pt>
                <c:pt idx="49">
                  <c:v>1.1789999999999998</c:v>
                </c:pt>
                <c:pt idx="50">
                  <c:v>1.1999999999999997</c:v>
                </c:pt>
              </c:numCache>
            </c:numRef>
          </c:xVal>
          <c:yVal>
            <c:numRef>
              <c:f>GraphicsEnglish!$AP$51:$AP$101</c:f>
              <c:numCache>
                <c:formatCode>0.0</c:formatCode>
                <c:ptCount val="51"/>
                <c:pt idx="0">
                  <c:v>3000</c:v>
                </c:pt>
                <c:pt idx="1">
                  <c:v>2631.5789473684213</c:v>
                </c:pt>
                <c:pt idx="2">
                  <c:v>2343.7500000000005</c:v>
                </c:pt>
                <c:pt idx="3">
                  <c:v>2112.6760563380285</c:v>
                </c:pt>
                <c:pt idx="4">
                  <c:v>1923.0769230769233</c:v>
                </c:pt>
                <c:pt idx="5">
                  <c:v>1764.7058823529414</c:v>
                </c:pt>
                <c:pt idx="6">
                  <c:v>1630.4347826086957</c:v>
                </c:pt>
                <c:pt idx="7">
                  <c:v>1515.1515151515152</c:v>
                </c:pt>
                <c:pt idx="8">
                  <c:v>1415.0943396226414</c:v>
                </c:pt>
                <c:pt idx="9">
                  <c:v>1327.4336283185839</c:v>
                </c:pt>
                <c:pt idx="10">
                  <c:v>1249.9999999999998</c:v>
                </c:pt>
                <c:pt idx="11">
                  <c:v>1181.1023622047242</c:v>
                </c:pt>
                <c:pt idx="12">
                  <c:v>1119.4029850746267</c:v>
                </c:pt>
                <c:pt idx="13">
                  <c:v>1063.8297872340422</c:v>
                </c:pt>
                <c:pt idx="14">
                  <c:v>1013.5135135135132</c:v>
                </c:pt>
                <c:pt idx="15">
                  <c:v>967.74193548387063</c:v>
                </c:pt>
                <c:pt idx="16">
                  <c:v>925.92592592592564</c:v>
                </c:pt>
                <c:pt idx="17">
                  <c:v>887.57396449704117</c:v>
                </c:pt>
                <c:pt idx="18">
                  <c:v>852.27272727272702</c:v>
                </c:pt>
                <c:pt idx="19">
                  <c:v>819.67213114754077</c:v>
                </c:pt>
                <c:pt idx="20">
                  <c:v>789.47368421052613</c:v>
                </c:pt>
                <c:pt idx="21">
                  <c:v>761.42131979695409</c:v>
                </c:pt>
                <c:pt idx="22">
                  <c:v>735.29411764705856</c:v>
                </c:pt>
                <c:pt idx="23">
                  <c:v>710.90047393364898</c:v>
                </c:pt>
                <c:pt idx="24">
                  <c:v>688.07339449541257</c:v>
                </c:pt>
                <c:pt idx="25">
                  <c:v>666.6666666666664</c:v>
                </c:pt>
                <c:pt idx="26">
                  <c:v>646.55172413793082</c:v>
                </c:pt>
                <c:pt idx="27">
                  <c:v>627.61506276150601</c:v>
                </c:pt>
                <c:pt idx="28">
                  <c:v>609.75609756097538</c:v>
                </c:pt>
                <c:pt idx="29">
                  <c:v>592.8853754940709</c:v>
                </c:pt>
                <c:pt idx="30">
                  <c:v>576.92307692307668</c:v>
                </c:pt>
                <c:pt idx="31">
                  <c:v>561.79775280898855</c:v>
                </c:pt>
                <c:pt idx="32">
                  <c:v>547.44525547445232</c:v>
                </c:pt>
                <c:pt idx="33">
                  <c:v>533.80782918149441</c:v>
                </c:pt>
                <c:pt idx="34">
                  <c:v>520.83333333333303</c:v>
                </c:pt>
                <c:pt idx="35">
                  <c:v>508.47457627118621</c:v>
                </c:pt>
                <c:pt idx="36">
                  <c:v>496.68874172185406</c:v>
                </c:pt>
                <c:pt idx="37">
                  <c:v>485.43689320388324</c:v>
                </c:pt>
                <c:pt idx="38">
                  <c:v>474.68354430379719</c:v>
                </c:pt>
                <c:pt idx="39">
                  <c:v>464.39628482972108</c:v>
                </c:pt>
                <c:pt idx="40">
                  <c:v>454.54545454545428</c:v>
                </c:pt>
                <c:pt idx="41">
                  <c:v>445.10385756676533</c:v>
                </c:pt>
                <c:pt idx="42">
                  <c:v>436.0465116279068</c:v>
                </c:pt>
                <c:pt idx="43">
                  <c:v>427.3504273504272</c:v>
                </c:pt>
                <c:pt idx="44">
                  <c:v>418.99441340782113</c:v>
                </c:pt>
                <c:pt idx="45">
                  <c:v>410.95890410958896</c:v>
                </c:pt>
                <c:pt idx="46">
                  <c:v>403.22580645161287</c:v>
                </c:pt>
                <c:pt idx="47">
                  <c:v>395.77836411609496</c:v>
                </c:pt>
                <c:pt idx="48">
                  <c:v>388.6010362694301</c:v>
                </c:pt>
                <c:pt idx="49">
                  <c:v>381.67938931297715</c:v>
                </c:pt>
                <c:pt idx="50">
                  <c:v>375.00000000000006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GraphicsEnglish!$AS$47</c:f>
              <c:strCache>
                <c:ptCount val="1"/>
                <c:pt idx="0">
                  <c:v>P*v=750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GraphicsEnglish!$AT$51:$AT$101</c:f>
              <c:numCache>
                <c:formatCode>0.000</c:formatCode>
                <c:ptCount val="51"/>
                <c:pt idx="0">
                  <c:v>0.25</c:v>
                </c:pt>
                <c:pt idx="1">
                  <c:v>0.26900000000000002</c:v>
                </c:pt>
                <c:pt idx="2">
                  <c:v>0.28800000000000003</c:v>
                </c:pt>
                <c:pt idx="3">
                  <c:v>0.30700000000000005</c:v>
                </c:pt>
                <c:pt idx="4">
                  <c:v>0.32600000000000007</c:v>
                </c:pt>
                <c:pt idx="5">
                  <c:v>0.34500000000000008</c:v>
                </c:pt>
                <c:pt idx="6">
                  <c:v>0.3640000000000001</c:v>
                </c:pt>
                <c:pt idx="7">
                  <c:v>0.38300000000000012</c:v>
                </c:pt>
                <c:pt idx="8">
                  <c:v>0.40200000000000014</c:v>
                </c:pt>
                <c:pt idx="9">
                  <c:v>0.42100000000000015</c:v>
                </c:pt>
                <c:pt idx="10">
                  <c:v>0.44000000000000017</c:v>
                </c:pt>
                <c:pt idx="11">
                  <c:v>0.45900000000000019</c:v>
                </c:pt>
                <c:pt idx="12">
                  <c:v>0.4780000000000002</c:v>
                </c:pt>
                <c:pt idx="13">
                  <c:v>0.49700000000000022</c:v>
                </c:pt>
                <c:pt idx="14">
                  <c:v>0.51600000000000024</c:v>
                </c:pt>
                <c:pt idx="15">
                  <c:v>0.53500000000000025</c:v>
                </c:pt>
                <c:pt idx="16">
                  <c:v>0.55400000000000027</c:v>
                </c:pt>
                <c:pt idx="17">
                  <c:v>0.57300000000000029</c:v>
                </c:pt>
                <c:pt idx="18">
                  <c:v>0.5920000000000003</c:v>
                </c:pt>
                <c:pt idx="19">
                  <c:v>0.61100000000000032</c:v>
                </c:pt>
                <c:pt idx="20">
                  <c:v>0.63000000000000034</c:v>
                </c:pt>
                <c:pt idx="21">
                  <c:v>0.64900000000000035</c:v>
                </c:pt>
                <c:pt idx="22">
                  <c:v>0.66800000000000037</c:v>
                </c:pt>
                <c:pt idx="23">
                  <c:v>0.68700000000000039</c:v>
                </c:pt>
                <c:pt idx="24">
                  <c:v>0.70600000000000041</c:v>
                </c:pt>
                <c:pt idx="25">
                  <c:v>0.72500000000000042</c:v>
                </c:pt>
                <c:pt idx="26">
                  <c:v>0.74400000000000044</c:v>
                </c:pt>
                <c:pt idx="27">
                  <c:v>0.76300000000000046</c:v>
                </c:pt>
                <c:pt idx="28">
                  <c:v>0.78200000000000047</c:v>
                </c:pt>
                <c:pt idx="29">
                  <c:v>0.80100000000000049</c:v>
                </c:pt>
                <c:pt idx="30">
                  <c:v>0.82000000000000051</c:v>
                </c:pt>
                <c:pt idx="31">
                  <c:v>0.83900000000000052</c:v>
                </c:pt>
                <c:pt idx="32">
                  <c:v>0.85800000000000054</c:v>
                </c:pt>
                <c:pt idx="33">
                  <c:v>0.87700000000000056</c:v>
                </c:pt>
                <c:pt idx="34">
                  <c:v>0.89600000000000057</c:v>
                </c:pt>
                <c:pt idx="35">
                  <c:v>0.91500000000000059</c:v>
                </c:pt>
                <c:pt idx="36">
                  <c:v>0.93400000000000061</c:v>
                </c:pt>
                <c:pt idx="37">
                  <c:v>0.95300000000000062</c:v>
                </c:pt>
                <c:pt idx="38">
                  <c:v>0.97200000000000064</c:v>
                </c:pt>
                <c:pt idx="39">
                  <c:v>0.99100000000000066</c:v>
                </c:pt>
                <c:pt idx="40">
                  <c:v>1.0100000000000007</c:v>
                </c:pt>
                <c:pt idx="41">
                  <c:v>1.0290000000000006</c:v>
                </c:pt>
                <c:pt idx="42">
                  <c:v>1.0480000000000005</c:v>
                </c:pt>
                <c:pt idx="43">
                  <c:v>1.0670000000000004</c:v>
                </c:pt>
                <c:pt idx="44">
                  <c:v>1.0860000000000003</c:v>
                </c:pt>
                <c:pt idx="45">
                  <c:v>1.1050000000000002</c:v>
                </c:pt>
                <c:pt idx="46">
                  <c:v>1.1240000000000001</c:v>
                </c:pt>
                <c:pt idx="47">
                  <c:v>1.143</c:v>
                </c:pt>
                <c:pt idx="48">
                  <c:v>1.1619999999999999</c:v>
                </c:pt>
                <c:pt idx="49">
                  <c:v>1.1809999999999998</c:v>
                </c:pt>
                <c:pt idx="50">
                  <c:v>1.1999999999999997</c:v>
                </c:pt>
              </c:numCache>
            </c:numRef>
          </c:xVal>
          <c:yVal>
            <c:numRef>
              <c:f>GraphicsEnglish!$AS$51:$AS$101</c:f>
              <c:numCache>
                <c:formatCode>0.0</c:formatCode>
                <c:ptCount val="51"/>
                <c:pt idx="0">
                  <c:v>3000</c:v>
                </c:pt>
                <c:pt idx="1">
                  <c:v>2788.1040892193305</c:v>
                </c:pt>
                <c:pt idx="2">
                  <c:v>2604.1666666666665</c:v>
                </c:pt>
                <c:pt idx="3">
                  <c:v>2442.9967426710095</c:v>
                </c:pt>
                <c:pt idx="4">
                  <c:v>2300.6134969325149</c:v>
                </c:pt>
                <c:pt idx="5">
                  <c:v>2173.9130434782605</c:v>
                </c:pt>
                <c:pt idx="6">
                  <c:v>2060.43956043956</c:v>
                </c:pt>
                <c:pt idx="7">
                  <c:v>1958.2245430809394</c:v>
                </c:pt>
                <c:pt idx="8">
                  <c:v>1865.6716417910441</c:v>
                </c:pt>
                <c:pt idx="9">
                  <c:v>1781.4726840855101</c:v>
                </c:pt>
                <c:pt idx="10">
                  <c:v>1704.5454545454538</c:v>
                </c:pt>
                <c:pt idx="11">
                  <c:v>1633.9869281045744</c:v>
                </c:pt>
                <c:pt idx="12">
                  <c:v>1569.0376569037651</c:v>
                </c:pt>
                <c:pt idx="13">
                  <c:v>1509.0543259557337</c:v>
                </c:pt>
                <c:pt idx="14">
                  <c:v>1453.4883720930227</c:v>
                </c:pt>
                <c:pt idx="15">
                  <c:v>1401.8691588785041</c:v>
                </c:pt>
                <c:pt idx="16">
                  <c:v>1353.7906137184109</c:v>
                </c:pt>
                <c:pt idx="17">
                  <c:v>1308.9005235602087</c:v>
                </c:pt>
                <c:pt idx="18">
                  <c:v>1266.8918918918912</c:v>
                </c:pt>
                <c:pt idx="19">
                  <c:v>1227.4959083469716</c:v>
                </c:pt>
                <c:pt idx="20">
                  <c:v>1190.4761904761899</c:v>
                </c:pt>
                <c:pt idx="21">
                  <c:v>1155.6240369799687</c:v>
                </c:pt>
                <c:pt idx="22">
                  <c:v>1122.7544910179633</c:v>
                </c:pt>
                <c:pt idx="23">
                  <c:v>1091.7030567685583</c:v>
                </c:pt>
                <c:pt idx="24">
                  <c:v>1062.3229461756368</c:v>
                </c:pt>
                <c:pt idx="25">
                  <c:v>1034.4827586206891</c:v>
                </c:pt>
                <c:pt idx="26">
                  <c:v>1008.0645161290316</c:v>
                </c:pt>
                <c:pt idx="27">
                  <c:v>982.96199213630348</c:v>
                </c:pt>
                <c:pt idx="28">
                  <c:v>959.07928388746745</c:v>
                </c:pt>
                <c:pt idx="29">
                  <c:v>936.32958801498069</c:v>
                </c:pt>
                <c:pt idx="30">
                  <c:v>914.63414634146284</c:v>
                </c:pt>
                <c:pt idx="31">
                  <c:v>893.92133492252628</c:v>
                </c:pt>
                <c:pt idx="32">
                  <c:v>874.12587412587357</c:v>
                </c:pt>
                <c:pt idx="33">
                  <c:v>855.18814139110555</c:v>
                </c:pt>
                <c:pt idx="34">
                  <c:v>837.05357142857088</c:v>
                </c:pt>
                <c:pt idx="35">
                  <c:v>819.67213114754043</c:v>
                </c:pt>
                <c:pt idx="36">
                  <c:v>802.99785867237631</c:v>
                </c:pt>
                <c:pt idx="37">
                  <c:v>786.98845750262274</c:v>
                </c:pt>
                <c:pt idx="38">
                  <c:v>771.6049382716044</c:v>
                </c:pt>
                <c:pt idx="39">
                  <c:v>756.8113017154385</c:v>
                </c:pt>
                <c:pt idx="40">
                  <c:v>742.57425742574208</c:v>
                </c:pt>
                <c:pt idx="41">
                  <c:v>728.8629737609325</c:v>
                </c:pt>
                <c:pt idx="42">
                  <c:v>715.64885496183172</c:v>
                </c:pt>
                <c:pt idx="43">
                  <c:v>702.90534208059955</c:v>
                </c:pt>
                <c:pt idx="44">
                  <c:v>690.60773480662965</c:v>
                </c:pt>
                <c:pt idx="45">
                  <c:v>678.73303167420806</c:v>
                </c:pt>
                <c:pt idx="46">
                  <c:v>667.25978647686827</c:v>
                </c:pt>
                <c:pt idx="47">
                  <c:v>656.16797900262463</c:v>
                </c:pt>
                <c:pt idx="48">
                  <c:v>645.43889845094668</c:v>
                </c:pt>
                <c:pt idx="49">
                  <c:v>635.05503810330242</c:v>
                </c:pt>
                <c:pt idx="50">
                  <c:v>625.00000000000011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GraphicsEnglish!$AV$47</c:f>
              <c:strCache>
                <c:ptCount val="1"/>
                <c:pt idx="0">
                  <c:v>P*v=1200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GraphicsEnglish!$AW$51:$AW$101</c:f>
              <c:numCache>
                <c:formatCode>0.000</c:formatCode>
                <c:ptCount val="51"/>
                <c:pt idx="0">
                  <c:v>0.4</c:v>
                </c:pt>
                <c:pt idx="1">
                  <c:v>0.41600000000000004</c:v>
                </c:pt>
                <c:pt idx="2">
                  <c:v>0.43200000000000005</c:v>
                </c:pt>
                <c:pt idx="3">
                  <c:v>0.44800000000000006</c:v>
                </c:pt>
                <c:pt idx="4">
                  <c:v>0.46400000000000008</c:v>
                </c:pt>
                <c:pt idx="5">
                  <c:v>0.48000000000000009</c:v>
                </c:pt>
                <c:pt idx="6">
                  <c:v>0.49600000000000011</c:v>
                </c:pt>
                <c:pt idx="7">
                  <c:v>0.51200000000000012</c:v>
                </c:pt>
                <c:pt idx="8">
                  <c:v>0.52800000000000014</c:v>
                </c:pt>
                <c:pt idx="9">
                  <c:v>0.54400000000000015</c:v>
                </c:pt>
                <c:pt idx="10">
                  <c:v>0.56000000000000016</c:v>
                </c:pt>
                <c:pt idx="11">
                  <c:v>0.57600000000000018</c:v>
                </c:pt>
                <c:pt idx="12">
                  <c:v>0.59200000000000019</c:v>
                </c:pt>
                <c:pt idx="13">
                  <c:v>0.60800000000000021</c:v>
                </c:pt>
                <c:pt idx="14">
                  <c:v>0.62400000000000022</c:v>
                </c:pt>
                <c:pt idx="15">
                  <c:v>0.64000000000000024</c:v>
                </c:pt>
                <c:pt idx="16">
                  <c:v>0.65600000000000025</c:v>
                </c:pt>
                <c:pt idx="17">
                  <c:v>0.67200000000000026</c:v>
                </c:pt>
                <c:pt idx="18">
                  <c:v>0.68800000000000028</c:v>
                </c:pt>
                <c:pt idx="19">
                  <c:v>0.70400000000000029</c:v>
                </c:pt>
                <c:pt idx="20">
                  <c:v>0.72000000000000031</c:v>
                </c:pt>
                <c:pt idx="21">
                  <c:v>0.73600000000000032</c:v>
                </c:pt>
                <c:pt idx="22">
                  <c:v>0.75200000000000033</c:v>
                </c:pt>
                <c:pt idx="23">
                  <c:v>0.76800000000000035</c:v>
                </c:pt>
                <c:pt idx="24">
                  <c:v>0.78400000000000036</c:v>
                </c:pt>
                <c:pt idx="25">
                  <c:v>0.80000000000000038</c:v>
                </c:pt>
                <c:pt idx="26">
                  <c:v>0.81600000000000039</c:v>
                </c:pt>
                <c:pt idx="27">
                  <c:v>0.83200000000000041</c:v>
                </c:pt>
                <c:pt idx="28">
                  <c:v>0.84800000000000042</c:v>
                </c:pt>
                <c:pt idx="29">
                  <c:v>0.86400000000000043</c:v>
                </c:pt>
                <c:pt idx="30">
                  <c:v>0.88000000000000045</c:v>
                </c:pt>
                <c:pt idx="31">
                  <c:v>0.89600000000000046</c:v>
                </c:pt>
                <c:pt idx="32">
                  <c:v>0.91200000000000048</c:v>
                </c:pt>
                <c:pt idx="33">
                  <c:v>0.92800000000000049</c:v>
                </c:pt>
                <c:pt idx="34">
                  <c:v>0.94400000000000051</c:v>
                </c:pt>
                <c:pt idx="35">
                  <c:v>0.96000000000000052</c:v>
                </c:pt>
                <c:pt idx="36">
                  <c:v>0.97600000000000053</c:v>
                </c:pt>
                <c:pt idx="37">
                  <c:v>0.99200000000000055</c:v>
                </c:pt>
                <c:pt idx="38">
                  <c:v>1.0080000000000005</c:v>
                </c:pt>
                <c:pt idx="39">
                  <c:v>1.0240000000000005</c:v>
                </c:pt>
                <c:pt idx="40">
                  <c:v>1.0400000000000005</c:v>
                </c:pt>
                <c:pt idx="41">
                  <c:v>1.0560000000000005</c:v>
                </c:pt>
                <c:pt idx="42">
                  <c:v>1.0720000000000005</c:v>
                </c:pt>
                <c:pt idx="43">
                  <c:v>1.0880000000000005</c:v>
                </c:pt>
                <c:pt idx="44">
                  <c:v>1.1040000000000005</c:v>
                </c:pt>
                <c:pt idx="45">
                  <c:v>1.1200000000000006</c:v>
                </c:pt>
                <c:pt idx="46">
                  <c:v>1.1360000000000006</c:v>
                </c:pt>
                <c:pt idx="47">
                  <c:v>1.1520000000000006</c:v>
                </c:pt>
                <c:pt idx="48">
                  <c:v>1.1680000000000006</c:v>
                </c:pt>
                <c:pt idx="49">
                  <c:v>1.1840000000000006</c:v>
                </c:pt>
                <c:pt idx="50">
                  <c:v>1.2000000000000006</c:v>
                </c:pt>
              </c:numCache>
            </c:numRef>
          </c:xVal>
          <c:yVal>
            <c:numRef>
              <c:f>GraphicsEnglish!$AV$51:$AV$101</c:f>
              <c:numCache>
                <c:formatCode>0.0</c:formatCode>
                <c:ptCount val="51"/>
                <c:pt idx="0">
                  <c:v>3000</c:v>
                </c:pt>
                <c:pt idx="1">
                  <c:v>2884.6153846153843</c:v>
                </c:pt>
                <c:pt idx="2">
                  <c:v>2777.7777777777774</c:v>
                </c:pt>
                <c:pt idx="3">
                  <c:v>2678.571428571428</c:v>
                </c:pt>
                <c:pt idx="4">
                  <c:v>2586.2068965517237</c:v>
                </c:pt>
                <c:pt idx="5">
                  <c:v>2499.9999999999995</c:v>
                </c:pt>
                <c:pt idx="6">
                  <c:v>2419.3548387096771</c:v>
                </c:pt>
                <c:pt idx="7">
                  <c:v>2343.7499999999995</c:v>
                </c:pt>
                <c:pt idx="8">
                  <c:v>2272.7272727272721</c:v>
                </c:pt>
                <c:pt idx="9">
                  <c:v>2205.8823529411757</c:v>
                </c:pt>
                <c:pt idx="10">
                  <c:v>2142.8571428571422</c:v>
                </c:pt>
                <c:pt idx="11">
                  <c:v>2083.3333333333326</c:v>
                </c:pt>
                <c:pt idx="12">
                  <c:v>2027.0270270270264</c:v>
                </c:pt>
                <c:pt idx="13">
                  <c:v>1973.6842105263152</c:v>
                </c:pt>
                <c:pt idx="14">
                  <c:v>1923.0769230769224</c:v>
                </c:pt>
                <c:pt idx="15">
                  <c:v>1874.9999999999993</c:v>
                </c:pt>
                <c:pt idx="16">
                  <c:v>1829.2682926829261</c:v>
                </c:pt>
                <c:pt idx="17">
                  <c:v>1785.7142857142851</c:v>
                </c:pt>
                <c:pt idx="18">
                  <c:v>1744.1860465116272</c:v>
                </c:pt>
                <c:pt idx="19">
                  <c:v>1704.5454545454538</c:v>
                </c:pt>
                <c:pt idx="20">
                  <c:v>1666.6666666666661</c:v>
                </c:pt>
                <c:pt idx="21">
                  <c:v>1630.4347826086948</c:v>
                </c:pt>
                <c:pt idx="22">
                  <c:v>1595.7446808510631</c:v>
                </c:pt>
                <c:pt idx="23">
                  <c:v>1562.4999999999993</c:v>
                </c:pt>
                <c:pt idx="24">
                  <c:v>1530.6122448979584</c:v>
                </c:pt>
                <c:pt idx="25">
                  <c:v>1499.9999999999993</c:v>
                </c:pt>
                <c:pt idx="26">
                  <c:v>1470.5882352941169</c:v>
                </c:pt>
                <c:pt idx="27">
                  <c:v>1442.3076923076917</c:v>
                </c:pt>
                <c:pt idx="28">
                  <c:v>1415.0943396226407</c:v>
                </c:pt>
                <c:pt idx="29">
                  <c:v>1388.8888888888882</c:v>
                </c:pt>
                <c:pt idx="30">
                  <c:v>1363.6363636363628</c:v>
                </c:pt>
                <c:pt idx="31">
                  <c:v>1339.2857142857135</c:v>
                </c:pt>
                <c:pt idx="32">
                  <c:v>1315.78947368421</c:v>
                </c:pt>
                <c:pt idx="33">
                  <c:v>1293.1034482758614</c:v>
                </c:pt>
                <c:pt idx="34">
                  <c:v>1271.1864406779655</c:v>
                </c:pt>
                <c:pt idx="35">
                  <c:v>1249.9999999999993</c:v>
                </c:pt>
                <c:pt idx="36">
                  <c:v>1229.5081967213107</c:v>
                </c:pt>
                <c:pt idx="37">
                  <c:v>1209.6774193548381</c:v>
                </c:pt>
                <c:pt idx="38">
                  <c:v>1190.4761904761899</c:v>
                </c:pt>
                <c:pt idx="39">
                  <c:v>1171.8749999999995</c:v>
                </c:pt>
                <c:pt idx="40">
                  <c:v>1153.8461538461534</c:v>
                </c:pt>
                <c:pt idx="41">
                  <c:v>1136.3636363636358</c:v>
                </c:pt>
                <c:pt idx="42">
                  <c:v>1119.4029850746263</c:v>
                </c:pt>
                <c:pt idx="43">
                  <c:v>1102.9411764705876</c:v>
                </c:pt>
                <c:pt idx="44">
                  <c:v>1086.9565217391298</c:v>
                </c:pt>
                <c:pt idx="45">
                  <c:v>1071.4285714285709</c:v>
                </c:pt>
                <c:pt idx="46">
                  <c:v>1056.3380281690136</c:v>
                </c:pt>
                <c:pt idx="47">
                  <c:v>1041.6666666666661</c:v>
                </c:pt>
                <c:pt idx="48">
                  <c:v>1027.3972602739721</c:v>
                </c:pt>
                <c:pt idx="49">
                  <c:v>1013.513513513513</c:v>
                </c:pt>
                <c:pt idx="50">
                  <c:v>999.99999999999943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71040"/>
        <c:axId val="269678080"/>
      </c:scatterChart>
      <c:valAx>
        <c:axId val="2696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Volume (cuft/lbm)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269678080"/>
        <c:crosses val="autoZero"/>
        <c:crossBetween val="midCat"/>
      </c:valAx>
      <c:valAx>
        <c:axId val="26967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(psia)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696710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</xdr:row>
      <xdr:rowOff>85725</xdr:rowOff>
    </xdr:from>
    <xdr:to>
      <xdr:col>11</xdr:col>
      <xdr:colOff>247649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</xdr:row>
      <xdr:rowOff>95250</xdr:rowOff>
    </xdr:from>
    <xdr:to>
      <xdr:col>25</xdr:col>
      <xdr:colOff>57150</xdr:colOff>
      <xdr:row>32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314325</xdr:colOff>
      <xdr:row>1</xdr:row>
      <xdr:rowOff>133350</xdr:rowOff>
    </xdr:from>
    <xdr:to>
      <xdr:col>39</xdr:col>
      <xdr:colOff>28575</xdr:colOff>
      <xdr:row>32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53</xdr:col>
      <xdr:colOff>247650</xdr:colOff>
      <xdr:row>32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tabSelected="1" workbookViewId="0"/>
  </sheetViews>
  <sheetFormatPr defaultRowHeight="11.25" x14ac:dyDescent="0.2"/>
  <cols>
    <col min="1" max="1" width="56.6640625" customWidth="1"/>
    <col min="2" max="2" width="14" customWidth="1"/>
  </cols>
  <sheetData>
    <row r="1" spans="1:3" ht="15.75" x14ac:dyDescent="0.25">
      <c r="A1" s="10" t="s">
        <v>124</v>
      </c>
    </row>
    <row r="2" spans="1:3" x14ac:dyDescent="0.2">
      <c r="A2" t="s">
        <v>125</v>
      </c>
    </row>
    <row r="4" spans="1:3" ht="20.100000000000001" customHeight="1" x14ac:dyDescent="0.2">
      <c r="A4" s="102" t="s">
        <v>134</v>
      </c>
      <c r="B4" s="103" t="s">
        <v>140</v>
      </c>
      <c r="C4" s="103" t="s">
        <v>141</v>
      </c>
    </row>
    <row r="5" spans="1:3" ht="20.100000000000001" customHeight="1" x14ac:dyDescent="0.2">
      <c r="A5" s="104"/>
      <c r="B5" s="104"/>
      <c r="C5" s="104"/>
    </row>
    <row r="6" spans="1:3" ht="20.100000000000001" customHeight="1" x14ac:dyDescent="0.2">
      <c r="A6" s="102" t="s">
        <v>136</v>
      </c>
      <c r="B6" s="103" t="s">
        <v>140</v>
      </c>
      <c r="C6" s="103" t="s">
        <v>141</v>
      </c>
    </row>
    <row r="7" spans="1:3" ht="20.100000000000001" customHeight="1" x14ac:dyDescent="0.2">
      <c r="A7" s="104"/>
      <c r="B7" s="104"/>
      <c r="C7" s="104"/>
    </row>
    <row r="8" spans="1:3" ht="20.100000000000001" customHeight="1" x14ac:dyDescent="0.2">
      <c r="A8" s="102" t="s">
        <v>135</v>
      </c>
      <c r="B8" s="103" t="s">
        <v>140</v>
      </c>
      <c r="C8" s="103" t="s">
        <v>141</v>
      </c>
    </row>
    <row r="9" spans="1:3" ht="20.100000000000001" customHeight="1" x14ac:dyDescent="0.2">
      <c r="A9" s="104"/>
      <c r="B9" s="104"/>
      <c r="C9" s="104"/>
    </row>
    <row r="10" spans="1:3" ht="20.100000000000001" customHeight="1" x14ac:dyDescent="0.2">
      <c r="A10" s="102" t="s">
        <v>137</v>
      </c>
      <c r="B10" s="103" t="s">
        <v>140</v>
      </c>
      <c r="C10" s="103" t="s">
        <v>141</v>
      </c>
    </row>
    <row r="11" spans="1:3" ht="20.100000000000001" customHeight="1" x14ac:dyDescent="0.2">
      <c r="A11" s="104"/>
      <c r="B11" s="104"/>
      <c r="C11" s="104"/>
    </row>
    <row r="12" spans="1:3" ht="20.100000000000001" customHeight="1" x14ac:dyDescent="0.2">
      <c r="A12" s="102" t="s">
        <v>138</v>
      </c>
      <c r="B12" s="103" t="s">
        <v>140</v>
      </c>
      <c r="C12" s="103" t="s">
        <v>141</v>
      </c>
    </row>
    <row r="13" spans="1:3" ht="20.100000000000001" customHeight="1" x14ac:dyDescent="0.2">
      <c r="A13" s="104"/>
      <c r="B13" s="104"/>
      <c r="C13" s="104"/>
    </row>
    <row r="14" spans="1:3" ht="20.100000000000001" customHeight="1" x14ac:dyDescent="0.2">
      <c r="A14" s="102" t="s">
        <v>139</v>
      </c>
      <c r="B14" s="103" t="s">
        <v>140</v>
      </c>
      <c r="C14" s="105"/>
    </row>
    <row r="15" spans="1:3" ht="20.100000000000001" customHeight="1" x14ac:dyDescent="0.2"/>
    <row r="16" spans="1:3" ht="20.100000000000001" customHeight="1" x14ac:dyDescent="0.2">
      <c r="A16" s="102" t="s">
        <v>196</v>
      </c>
      <c r="C16" s="103" t="s">
        <v>141</v>
      </c>
    </row>
    <row r="18" spans="1:12" ht="15.75" x14ac:dyDescent="0.25">
      <c r="A18" s="146" t="s">
        <v>197</v>
      </c>
      <c r="B18" s="144"/>
      <c r="C18" s="147" t="s">
        <v>198</v>
      </c>
      <c r="D18" s="22"/>
      <c r="E18" s="22"/>
      <c r="F18" s="22"/>
      <c r="G18" s="22"/>
      <c r="H18" s="22"/>
      <c r="I18" s="22"/>
      <c r="J18" s="22"/>
      <c r="K18" s="22"/>
      <c r="L18" s="78"/>
    </row>
    <row r="19" spans="1:12" ht="15.75" x14ac:dyDescent="0.25">
      <c r="A19" s="148"/>
      <c r="B19" s="145"/>
      <c r="C19" s="149" t="s">
        <v>199</v>
      </c>
      <c r="D19" s="30"/>
      <c r="E19" s="30"/>
      <c r="F19" s="30"/>
      <c r="G19" s="30"/>
      <c r="H19" s="30"/>
      <c r="I19" s="30"/>
      <c r="J19" s="30"/>
      <c r="K19" s="30"/>
      <c r="L19" s="35"/>
    </row>
  </sheetData>
  <hyperlinks>
    <hyperlink ref="B4" location="TemperatureEnglish!A1" display="English"/>
    <hyperlink ref="C4" location="TemperatureSI!A1" display="SI"/>
    <hyperlink ref="B6" location="PressureEnglish!A1" display="English"/>
    <hyperlink ref="C6" location="PressureSI!A1" display="SI"/>
    <hyperlink ref="C8" location="SuperheatedSI!A1" display="SI"/>
    <hyperlink ref="B8" location="SuperheatedEnglish!A1" display="English"/>
    <hyperlink ref="B10" location="PropLookupsEnglish!A1" display="English"/>
    <hyperlink ref="C10" location="PropLookupsSI!A1" display="SI"/>
    <hyperlink ref="B12" location="SuperheatLookupEnglish!A1" display="English"/>
    <hyperlink ref="C12" location="SuperheatLookupSI!A1" display="SI"/>
    <hyperlink ref="B14" location="GraphicsEnglish!A1" display="English"/>
    <hyperlink ref="C16" location="LearningToolSI!A1" display="SI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pane ySplit="2" topLeftCell="A51" activePane="bottomLeft" state="frozen"/>
      <selection pane="bottomLeft" activeCell="A2" sqref="A2:J73"/>
    </sheetView>
  </sheetViews>
  <sheetFormatPr defaultRowHeight="11.25" x14ac:dyDescent="0.2"/>
  <cols>
    <col min="1" max="1" width="8" customWidth="1"/>
    <col min="2" max="2" width="9.33203125" style="5"/>
    <col min="3" max="3" width="9.33203125" style="14"/>
    <col min="4" max="4" width="9.33203125" style="8"/>
    <col min="5" max="5" width="9.33203125" style="5"/>
    <col min="6" max="6" width="9.33203125" style="11"/>
    <col min="7" max="8" width="9.33203125" style="5"/>
    <col min="9" max="9" width="9.33203125" style="11"/>
    <col min="10" max="12" width="9.33203125" style="8"/>
    <col min="13" max="13" width="7.1640625" bestFit="1" customWidth="1"/>
  </cols>
  <sheetData>
    <row r="1" spans="1:13" ht="15.75" x14ac:dyDescent="0.25">
      <c r="A1" s="10" t="s">
        <v>25</v>
      </c>
    </row>
    <row r="2" spans="1:13" ht="33.75" x14ac:dyDescent="0.2">
      <c r="A2" s="9" t="s">
        <v>15</v>
      </c>
      <c r="B2" s="6" t="s">
        <v>14</v>
      </c>
      <c r="C2" s="15" t="s">
        <v>16</v>
      </c>
      <c r="D2" s="7" t="s">
        <v>17</v>
      </c>
      <c r="E2" s="6" t="s">
        <v>18</v>
      </c>
      <c r="F2" s="12" t="s">
        <v>19</v>
      </c>
      <c r="G2" s="6" t="s">
        <v>20</v>
      </c>
      <c r="H2" s="6" t="s">
        <v>21</v>
      </c>
      <c r="I2" s="12" t="s">
        <v>22</v>
      </c>
      <c r="J2" s="7" t="s">
        <v>23</v>
      </c>
      <c r="K2" s="7" t="s">
        <v>26</v>
      </c>
      <c r="L2" s="7" t="s">
        <v>24</v>
      </c>
      <c r="M2" s="9" t="s">
        <v>15</v>
      </c>
    </row>
    <row r="3" spans="1:13" x14ac:dyDescent="0.2">
      <c r="A3" s="11">
        <v>0.4</v>
      </c>
      <c r="B3" s="5">
        <v>72.84</v>
      </c>
      <c r="C3" s="14">
        <v>1.6060000000000001E-2</v>
      </c>
      <c r="D3" s="8">
        <v>792</v>
      </c>
      <c r="E3" s="5">
        <v>40.94</v>
      </c>
      <c r="F3" s="11">
        <v>1034.7</v>
      </c>
      <c r="G3" s="5">
        <v>40.94</v>
      </c>
      <c r="H3" s="5">
        <v>1052.3</v>
      </c>
      <c r="I3" s="11">
        <v>1093.3</v>
      </c>
      <c r="J3" s="8">
        <v>0.08</v>
      </c>
      <c r="K3" s="8">
        <v>1.976</v>
      </c>
      <c r="L3" s="8">
        <v>2.0558999999999998</v>
      </c>
      <c r="M3" s="11">
        <v>0.4</v>
      </c>
    </row>
    <row r="4" spans="1:13" x14ac:dyDescent="0.2">
      <c r="A4" s="11">
        <v>0.6</v>
      </c>
      <c r="B4" s="5">
        <v>85.19</v>
      </c>
      <c r="C4" s="14">
        <v>1.609E-2</v>
      </c>
      <c r="D4" s="8">
        <v>540</v>
      </c>
      <c r="E4" s="5">
        <v>53.26</v>
      </c>
      <c r="F4" s="11">
        <v>1038.7</v>
      </c>
      <c r="G4" s="5">
        <v>53.27</v>
      </c>
      <c r="H4" s="5">
        <v>1045.4000000000001</v>
      </c>
      <c r="I4" s="11">
        <v>1098.5999999999999</v>
      </c>
      <c r="J4" s="8">
        <v>0.10290000000000001</v>
      </c>
      <c r="K4" s="8">
        <v>1.9184000000000001</v>
      </c>
      <c r="L4" s="8">
        <v>2.0213000000000001</v>
      </c>
      <c r="M4" s="11">
        <v>0.6</v>
      </c>
    </row>
    <row r="5" spans="1:13" x14ac:dyDescent="0.2">
      <c r="A5" s="11">
        <v>0.8</v>
      </c>
      <c r="B5" s="5">
        <v>94.35</v>
      </c>
      <c r="C5" s="14">
        <v>1.6109999999999999E-2</v>
      </c>
      <c r="D5" s="8">
        <v>411.7</v>
      </c>
      <c r="E5" s="5">
        <v>62.41</v>
      </c>
      <c r="F5" s="11">
        <v>1041.7</v>
      </c>
      <c r="G5" s="5">
        <v>62.41</v>
      </c>
      <c r="H5" s="5">
        <v>1040.2</v>
      </c>
      <c r="I5" s="11">
        <v>1102.5999999999999</v>
      </c>
      <c r="J5" s="8">
        <v>0.1195</v>
      </c>
      <c r="K5" s="8">
        <v>1.8773</v>
      </c>
      <c r="L5" s="8">
        <v>1.9967999999999999</v>
      </c>
      <c r="M5" s="11">
        <v>0.8</v>
      </c>
    </row>
    <row r="6" spans="1:13" x14ac:dyDescent="0.2">
      <c r="A6" s="11">
        <v>1</v>
      </c>
      <c r="B6" s="5">
        <v>101.7</v>
      </c>
      <c r="C6" s="14">
        <v>1.6140000000000002E-2</v>
      </c>
      <c r="D6" s="8">
        <v>333.6</v>
      </c>
      <c r="E6" s="5">
        <v>69.739999999999995</v>
      </c>
      <c r="F6" s="11">
        <v>1044</v>
      </c>
      <c r="G6" s="5">
        <v>69.739999999999995</v>
      </c>
      <c r="H6" s="5">
        <v>1036</v>
      </c>
      <c r="I6" s="11">
        <v>1105.8</v>
      </c>
      <c r="J6" s="8">
        <v>0.13270000000000001</v>
      </c>
      <c r="K6" s="8">
        <v>1.8452999999999999</v>
      </c>
      <c r="L6" s="8">
        <v>1.9779</v>
      </c>
      <c r="M6" s="11">
        <v>1</v>
      </c>
    </row>
    <row r="7" spans="1:13" x14ac:dyDescent="0.2">
      <c r="A7" s="11">
        <v>1.2</v>
      </c>
      <c r="B7" s="5">
        <v>107.88</v>
      </c>
      <c r="C7" s="14">
        <v>1.6160000000000001E-2</v>
      </c>
      <c r="D7" s="8">
        <v>280.89999999999998</v>
      </c>
      <c r="E7" s="5">
        <v>75.900000000000006</v>
      </c>
      <c r="F7" s="11">
        <v>1046</v>
      </c>
      <c r="G7" s="5">
        <v>75.900000000000006</v>
      </c>
      <c r="H7" s="5">
        <v>1032.5</v>
      </c>
      <c r="I7" s="11">
        <v>1108.4000000000001</v>
      </c>
      <c r="J7" s="8">
        <v>0.14360000000000001</v>
      </c>
      <c r="K7" s="8">
        <v>1.819</v>
      </c>
      <c r="L7" s="8">
        <v>1.9625999999999999</v>
      </c>
      <c r="M7" s="11">
        <v>1.2</v>
      </c>
    </row>
    <row r="8" spans="1:13" x14ac:dyDescent="0.2">
      <c r="A8" s="11">
        <v>1.5</v>
      </c>
      <c r="B8" s="5">
        <v>115.65</v>
      </c>
      <c r="C8" s="14">
        <v>1.619E-2</v>
      </c>
      <c r="D8" s="8">
        <v>227.7</v>
      </c>
      <c r="E8" s="5">
        <v>83.65</v>
      </c>
      <c r="F8" s="11">
        <v>1048.5</v>
      </c>
      <c r="G8" s="5">
        <v>83.65</v>
      </c>
      <c r="H8" s="5">
        <v>1028</v>
      </c>
      <c r="I8" s="11">
        <v>1111.7</v>
      </c>
      <c r="J8" s="8">
        <v>0.15709999999999999</v>
      </c>
      <c r="K8" s="8">
        <v>1.7867</v>
      </c>
      <c r="L8" s="8">
        <v>1.9438</v>
      </c>
      <c r="M8" s="11">
        <v>1.5</v>
      </c>
    </row>
    <row r="9" spans="1:13" x14ac:dyDescent="0.2">
      <c r="A9" s="11">
        <v>2</v>
      </c>
      <c r="B9" s="5">
        <v>126.04</v>
      </c>
      <c r="C9" s="14">
        <v>1.6230000000000001E-2</v>
      </c>
      <c r="D9" s="8">
        <v>173.75</v>
      </c>
      <c r="E9" s="5">
        <v>94.02</v>
      </c>
      <c r="F9" s="11">
        <v>1051.8</v>
      </c>
      <c r="G9" s="5">
        <v>94.02</v>
      </c>
      <c r="H9" s="5">
        <v>1022.1</v>
      </c>
      <c r="I9" s="11">
        <v>1116.0999999999999</v>
      </c>
      <c r="J9" s="8">
        <v>0.17499999999999999</v>
      </c>
      <c r="K9" s="8">
        <v>1.7447999999999999</v>
      </c>
      <c r="L9" s="8">
        <v>1.9198</v>
      </c>
      <c r="M9" s="11">
        <v>2</v>
      </c>
    </row>
    <row r="10" spans="1:13" x14ac:dyDescent="0.2">
      <c r="A10" s="11">
        <v>3</v>
      </c>
      <c r="B10" s="5">
        <v>141.43</v>
      </c>
      <c r="C10" s="14">
        <v>1.6299999999999999E-2</v>
      </c>
      <c r="D10" s="8">
        <v>118.72</v>
      </c>
      <c r="E10" s="5">
        <v>109.38</v>
      </c>
      <c r="F10" s="11">
        <v>1056.5999999999999</v>
      </c>
      <c r="G10" s="5">
        <v>109.39</v>
      </c>
      <c r="H10" s="5">
        <v>1013.1</v>
      </c>
      <c r="I10" s="11">
        <v>1122.5</v>
      </c>
      <c r="J10" s="8">
        <v>0.2009</v>
      </c>
      <c r="K10" s="8">
        <v>1.6852</v>
      </c>
      <c r="L10" s="8">
        <v>1.8861000000000001</v>
      </c>
      <c r="M10" s="11">
        <v>3</v>
      </c>
    </row>
    <row r="11" spans="1:13" x14ac:dyDescent="0.2">
      <c r="A11" s="11">
        <v>4</v>
      </c>
      <c r="B11" s="5">
        <v>152.93</v>
      </c>
      <c r="C11" s="14">
        <v>1.636E-2</v>
      </c>
      <c r="D11" s="8">
        <v>90.64</v>
      </c>
      <c r="E11" s="5">
        <v>120.88</v>
      </c>
      <c r="F11" s="11">
        <v>1060.2</v>
      </c>
      <c r="G11" s="5">
        <v>120.89</v>
      </c>
      <c r="H11" s="5">
        <v>1006.4</v>
      </c>
      <c r="I11" s="11">
        <v>1127.3</v>
      </c>
      <c r="J11" s="8">
        <v>0.2198</v>
      </c>
      <c r="K11" s="8">
        <v>1.6426000000000001</v>
      </c>
      <c r="L11" s="8">
        <v>1.8624000000000001</v>
      </c>
      <c r="M11" s="11">
        <v>4</v>
      </c>
    </row>
    <row r="12" spans="1:13" x14ac:dyDescent="0.2">
      <c r="A12" s="11">
        <v>5</v>
      </c>
      <c r="B12" s="5">
        <v>162.21</v>
      </c>
      <c r="C12" s="14">
        <v>1.6410000000000001E-2</v>
      </c>
      <c r="D12" s="8">
        <v>73.53</v>
      </c>
      <c r="E12" s="5">
        <v>130.15</v>
      </c>
      <c r="F12" s="11">
        <v>1063</v>
      </c>
      <c r="G12" s="5">
        <v>130.16999999999999</v>
      </c>
      <c r="H12" s="5">
        <v>1000.9</v>
      </c>
      <c r="I12" s="11">
        <v>1131</v>
      </c>
      <c r="J12" s="8">
        <v>0.2349</v>
      </c>
      <c r="K12" s="8">
        <v>1.6093</v>
      </c>
      <c r="L12" s="8">
        <v>1.8441000000000001</v>
      </c>
      <c r="M12" s="11">
        <v>5</v>
      </c>
    </row>
    <row r="13" spans="1:13" x14ac:dyDescent="0.2">
      <c r="A13" s="11">
        <v>6</v>
      </c>
      <c r="B13" s="5">
        <v>170.03</v>
      </c>
      <c r="C13" s="14">
        <v>1.6449999999999999E-2</v>
      </c>
      <c r="D13" s="8">
        <v>61.98</v>
      </c>
      <c r="E13" s="5">
        <v>137.97999999999999</v>
      </c>
      <c r="F13" s="11">
        <v>1065.4000000000001</v>
      </c>
      <c r="G13" s="5">
        <v>138</v>
      </c>
      <c r="H13" s="5">
        <v>996.2</v>
      </c>
      <c r="I13" s="11">
        <v>1134.2</v>
      </c>
      <c r="J13" s="8">
        <v>0.24740000000000001</v>
      </c>
      <c r="K13" s="8">
        <v>1.5819000000000001</v>
      </c>
      <c r="L13" s="8">
        <v>1.8291999999999999</v>
      </c>
      <c r="M13" s="11">
        <v>6</v>
      </c>
    </row>
    <row r="14" spans="1:13" x14ac:dyDescent="0.2">
      <c r="A14" s="11">
        <v>7</v>
      </c>
      <c r="B14" s="5">
        <v>176.82</v>
      </c>
      <c r="C14" s="14">
        <v>1.6490000000000001E-2</v>
      </c>
      <c r="D14" s="8">
        <v>53.65</v>
      </c>
      <c r="E14" s="5">
        <v>144.78</v>
      </c>
      <c r="F14" s="11">
        <v>1067.4000000000001</v>
      </c>
      <c r="G14" s="5">
        <v>144.80000000000001</v>
      </c>
      <c r="H14" s="5">
        <v>992.1</v>
      </c>
      <c r="I14" s="11">
        <v>1136.9000000000001</v>
      </c>
      <c r="J14" s="8">
        <v>0.2581</v>
      </c>
      <c r="K14" s="8">
        <v>1.5585</v>
      </c>
      <c r="L14" s="8">
        <v>1.8167</v>
      </c>
      <c r="M14" s="11">
        <v>7</v>
      </c>
    </row>
    <row r="15" spans="1:13" x14ac:dyDescent="0.2">
      <c r="A15" s="11">
        <v>8</v>
      </c>
      <c r="B15" s="5">
        <v>182.84</v>
      </c>
      <c r="C15" s="14">
        <v>1.653E-2</v>
      </c>
      <c r="D15" s="8">
        <v>47.35</v>
      </c>
      <c r="E15" s="5">
        <v>150.81</v>
      </c>
      <c r="F15" s="11">
        <v>1069.2</v>
      </c>
      <c r="G15" s="5">
        <v>150.84</v>
      </c>
      <c r="H15" s="5">
        <v>988.4</v>
      </c>
      <c r="I15" s="11">
        <v>1139.3</v>
      </c>
      <c r="J15" s="8">
        <v>0.26750000000000002</v>
      </c>
      <c r="K15" s="8">
        <v>1.5383</v>
      </c>
      <c r="L15" s="8">
        <v>1.8058000000000001</v>
      </c>
      <c r="M15" s="11">
        <v>8</v>
      </c>
    </row>
    <row r="16" spans="1:13" x14ac:dyDescent="0.2">
      <c r="A16" s="11">
        <v>9</v>
      </c>
      <c r="B16" s="5">
        <v>188.26</v>
      </c>
      <c r="C16" s="14">
        <v>1.6559999999999998E-2</v>
      </c>
      <c r="D16" s="8">
        <v>42.41</v>
      </c>
      <c r="E16" s="5">
        <v>156.25</v>
      </c>
      <c r="F16" s="11">
        <v>1070.8</v>
      </c>
      <c r="G16" s="5">
        <v>156.27000000000001</v>
      </c>
      <c r="H16" s="5">
        <v>985.1</v>
      </c>
      <c r="I16" s="11">
        <v>1141.4000000000001</v>
      </c>
      <c r="J16" s="8">
        <v>0.27600000000000002</v>
      </c>
      <c r="K16" s="8">
        <v>1.5203</v>
      </c>
      <c r="L16" s="8">
        <v>1.7963</v>
      </c>
      <c r="M16" s="11">
        <v>9</v>
      </c>
    </row>
    <row r="17" spans="1:13" x14ac:dyDescent="0.2">
      <c r="A17" s="11">
        <v>10</v>
      </c>
      <c r="B17" s="5">
        <v>193.19</v>
      </c>
      <c r="C17" s="14">
        <v>1.6590000000000001E-2</v>
      </c>
      <c r="D17" s="8">
        <v>38.42</v>
      </c>
      <c r="E17" s="5">
        <v>161.19999999999999</v>
      </c>
      <c r="F17" s="11">
        <v>1072.2</v>
      </c>
      <c r="G17" s="5">
        <v>161.22999999999999</v>
      </c>
      <c r="H17" s="5">
        <v>982.1</v>
      </c>
      <c r="I17" s="11">
        <v>1143.3</v>
      </c>
      <c r="J17" s="8">
        <v>0.28360000000000002</v>
      </c>
      <c r="K17" s="8">
        <v>1.5041</v>
      </c>
      <c r="L17" s="8">
        <v>1.7877000000000001</v>
      </c>
      <c r="M17" s="11">
        <v>10</v>
      </c>
    </row>
    <row r="18" spans="1:13" x14ac:dyDescent="0.2">
      <c r="A18">
        <v>14.696</v>
      </c>
      <c r="B18" s="5">
        <v>211.99</v>
      </c>
      <c r="C18" s="14">
        <v>1.6719999999999999E-2</v>
      </c>
      <c r="D18" s="8">
        <v>26.8</v>
      </c>
      <c r="E18" s="5">
        <v>180.1</v>
      </c>
      <c r="F18" s="11">
        <v>1077.5999999999999</v>
      </c>
      <c r="G18" s="5">
        <v>180.15</v>
      </c>
      <c r="H18" s="5">
        <v>970.4</v>
      </c>
      <c r="I18" s="11">
        <v>1150.5</v>
      </c>
      <c r="J18" s="8">
        <v>0.31209999999999999</v>
      </c>
      <c r="K18" s="8">
        <v>1.4446000000000001</v>
      </c>
      <c r="L18" s="8">
        <v>1.7566999999999999</v>
      </c>
      <c r="M18">
        <v>14.696</v>
      </c>
    </row>
    <row r="19" spans="1:13" x14ac:dyDescent="0.2">
      <c r="A19">
        <v>15</v>
      </c>
      <c r="B19" s="5">
        <v>213.03</v>
      </c>
      <c r="C19" s="14">
        <v>1.6719999999999999E-2</v>
      </c>
      <c r="D19" s="8">
        <v>26.29</v>
      </c>
      <c r="E19" s="5">
        <v>181.14</v>
      </c>
      <c r="F19" s="11">
        <v>1077.9000000000001</v>
      </c>
      <c r="G19" s="5">
        <v>181.19</v>
      </c>
      <c r="H19" s="5">
        <v>969.7</v>
      </c>
      <c r="I19" s="11">
        <v>1150.9000000000001</v>
      </c>
      <c r="J19" s="8">
        <v>0.31369999999999998</v>
      </c>
      <c r="K19" s="8">
        <v>1.4414</v>
      </c>
      <c r="L19" s="8">
        <v>1.7551000000000001</v>
      </c>
      <c r="M19">
        <v>15</v>
      </c>
    </row>
    <row r="20" spans="1:13" x14ac:dyDescent="0.2">
      <c r="A20">
        <v>20</v>
      </c>
      <c r="B20" s="5">
        <v>227.96</v>
      </c>
      <c r="C20" s="14">
        <v>1.6830000000000001E-2</v>
      </c>
      <c r="D20" s="8">
        <v>20.09</v>
      </c>
      <c r="E20" s="5">
        <v>196.19</v>
      </c>
      <c r="F20" s="11">
        <v>1082</v>
      </c>
      <c r="G20" s="5">
        <v>196.26</v>
      </c>
      <c r="H20" s="5">
        <v>960.1</v>
      </c>
      <c r="I20" s="11">
        <v>1156.4000000000001</v>
      </c>
      <c r="J20" s="8">
        <v>0.33579999999999999</v>
      </c>
      <c r="K20" s="8">
        <v>1.3962000000000001</v>
      </c>
      <c r="L20" s="8">
        <v>1.732</v>
      </c>
      <c r="M20">
        <v>20</v>
      </c>
    </row>
    <row r="21" spans="1:13" x14ac:dyDescent="0.2">
      <c r="A21">
        <v>25</v>
      </c>
      <c r="B21" s="5">
        <v>240.08</v>
      </c>
      <c r="C21" s="14">
        <v>1.6920000000000001E-2</v>
      </c>
      <c r="D21" s="8">
        <v>16.309999999999999</v>
      </c>
      <c r="E21" s="5">
        <v>208.44</v>
      </c>
      <c r="F21" s="11">
        <v>1085.3</v>
      </c>
      <c r="G21" s="5">
        <v>208.52</v>
      </c>
      <c r="H21" s="5">
        <v>952.2</v>
      </c>
      <c r="I21" s="11">
        <v>1160.7</v>
      </c>
      <c r="J21" s="8">
        <v>0.35349999999999998</v>
      </c>
      <c r="K21" s="8">
        <v>1.3607</v>
      </c>
      <c r="L21" s="8">
        <v>1.7141999999999999</v>
      </c>
      <c r="M21">
        <v>25</v>
      </c>
    </row>
    <row r="22" spans="1:13" x14ac:dyDescent="0.2">
      <c r="A22">
        <v>30</v>
      </c>
      <c r="B22" s="5">
        <v>250.34</v>
      </c>
      <c r="C22" s="14">
        <v>1.7000000000000001E-2</v>
      </c>
      <c r="D22" s="8">
        <v>13.75</v>
      </c>
      <c r="E22" s="5">
        <v>218.84</v>
      </c>
      <c r="F22" s="11">
        <v>1088</v>
      </c>
      <c r="G22" s="5">
        <v>218.93</v>
      </c>
      <c r="H22" s="5">
        <v>945.4</v>
      </c>
      <c r="I22" s="11">
        <v>1164.3</v>
      </c>
      <c r="J22" s="8">
        <v>0.36820000000000003</v>
      </c>
      <c r="K22" s="8">
        <v>1.3313999999999999</v>
      </c>
      <c r="L22" s="8">
        <v>1.6996</v>
      </c>
      <c r="M22">
        <v>30</v>
      </c>
    </row>
    <row r="23" spans="1:13" x14ac:dyDescent="0.2">
      <c r="A23">
        <v>35</v>
      </c>
      <c r="B23" s="5">
        <v>259.3</v>
      </c>
      <c r="C23" s="14">
        <v>1.7080000000000001E-2</v>
      </c>
      <c r="D23" s="8">
        <v>11.9</v>
      </c>
      <c r="E23" s="5">
        <v>227.93</v>
      </c>
      <c r="F23" s="11">
        <v>1090.3</v>
      </c>
      <c r="G23" s="5">
        <v>228.04</v>
      </c>
      <c r="H23" s="5">
        <v>939.3</v>
      </c>
      <c r="I23" s="11">
        <v>1167.4000000000001</v>
      </c>
      <c r="J23" s="8">
        <v>0.38090000000000002</v>
      </c>
      <c r="K23" s="8">
        <v>1.3064</v>
      </c>
      <c r="L23" s="8">
        <v>1.6873</v>
      </c>
      <c r="M23">
        <v>35</v>
      </c>
    </row>
    <row r="24" spans="1:13" x14ac:dyDescent="0.2">
      <c r="A24">
        <v>40</v>
      </c>
      <c r="B24" s="5">
        <v>267.26</v>
      </c>
      <c r="C24" s="14">
        <v>1.7149999999999999E-2</v>
      </c>
      <c r="D24" s="8">
        <v>10.5</v>
      </c>
      <c r="E24" s="5">
        <v>236.03</v>
      </c>
      <c r="F24" s="11">
        <v>1092.3</v>
      </c>
      <c r="G24" s="5">
        <v>236.16</v>
      </c>
      <c r="H24" s="5">
        <v>933.8</v>
      </c>
      <c r="I24" s="11">
        <v>1170</v>
      </c>
      <c r="J24" s="8">
        <v>0.3921</v>
      </c>
      <c r="K24" s="8">
        <v>1.2845</v>
      </c>
      <c r="L24" s="8">
        <v>1.6767000000000001</v>
      </c>
      <c r="M24">
        <v>40</v>
      </c>
    </row>
    <row r="25" spans="1:13" x14ac:dyDescent="0.2">
      <c r="A25">
        <v>45</v>
      </c>
      <c r="B25" s="5">
        <v>274.45999999999998</v>
      </c>
      <c r="C25" s="14">
        <v>1.721E-2</v>
      </c>
      <c r="D25" s="8">
        <v>9.4</v>
      </c>
      <c r="E25" s="5">
        <v>243.37</v>
      </c>
      <c r="F25" s="11">
        <v>1094</v>
      </c>
      <c r="G25" s="5">
        <v>243.51</v>
      </c>
      <c r="H25" s="5">
        <v>928.8</v>
      </c>
      <c r="I25" s="11">
        <v>1172.3</v>
      </c>
      <c r="J25" s="8">
        <v>0.4022</v>
      </c>
      <c r="K25" s="8">
        <v>1.2650999999999999</v>
      </c>
      <c r="L25" s="8">
        <v>1.6673</v>
      </c>
      <c r="M25">
        <v>45</v>
      </c>
    </row>
    <row r="26" spans="1:13" x14ac:dyDescent="0.2">
      <c r="A26">
        <v>50</v>
      </c>
      <c r="B26" s="5">
        <v>281.02999999999997</v>
      </c>
      <c r="C26" s="14">
        <v>1.7270000000000001E-2</v>
      </c>
      <c r="D26" s="8">
        <v>8.52</v>
      </c>
      <c r="E26" s="5">
        <v>250.08</v>
      </c>
      <c r="F26" s="11">
        <v>1095.5999999999999</v>
      </c>
      <c r="G26" s="5">
        <v>250.24</v>
      </c>
      <c r="H26" s="5">
        <v>924.2</v>
      </c>
      <c r="I26" s="11">
        <v>1174.4000000000001</v>
      </c>
      <c r="J26" s="8">
        <v>0.4113</v>
      </c>
      <c r="K26" s="8">
        <v>1.2476</v>
      </c>
      <c r="L26" s="8">
        <v>1.6589</v>
      </c>
      <c r="M26">
        <v>50</v>
      </c>
    </row>
    <row r="27" spans="1:13" x14ac:dyDescent="0.2">
      <c r="A27">
        <v>55</v>
      </c>
      <c r="B27" s="5">
        <v>287.10000000000002</v>
      </c>
      <c r="C27" s="14">
        <v>1.7330000000000002E-2</v>
      </c>
      <c r="D27" s="8">
        <v>7.79</v>
      </c>
      <c r="E27" s="5">
        <v>256.27999999999997</v>
      </c>
      <c r="F27" s="11">
        <v>1097</v>
      </c>
      <c r="G27" s="5">
        <v>256.45999999999998</v>
      </c>
      <c r="H27" s="5">
        <v>919.9</v>
      </c>
      <c r="I27" s="11">
        <v>1176.3</v>
      </c>
      <c r="J27" s="8">
        <v>0.41959999999999997</v>
      </c>
      <c r="K27" s="8">
        <v>1.2317</v>
      </c>
      <c r="L27" s="8">
        <v>1.6513</v>
      </c>
      <c r="M27">
        <v>55</v>
      </c>
    </row>
    <row r="28" spans="1:13" x14ac:dyDescent="0.2">
      <c r="A28">
        <v>60</v>
      </c>
      <c r="B28" s="5">
        <v>292.73</v>
      </c>
      <c r="C28" s="14">
        <v>1.738E-2</v>
      </c>
      <c r="D28" s="8">
        <v>7.1769999999999996</v>
      </c>
      <c r="E28" s="5">
        <v>262.10000000000002</v>
      </c>
      <c r="F28" s="11">
        <v>1098.3</v>
      </c>
      <c r="G28" s="5">
        <v>262.2</v>
      </c>
      <c r="H28" s="5">
        <v>915.8</v>
      </c>
      <c r="I28" s="11">
        <v>1178</v>
      </c>
      <c r="J28" s="8">
        <v>0.42730000000000001</v>
      </c>
      <c r="K28" s="8">
        <v>1.2170000000000001</v>
      </c>
      <c r="L28" s="8">
        <v>1.6443000000000001</v>
      </c>
      <c r="M28">
        <v>60</v>
      </c>
    </row>
    <row r="29" spans="1:13" x14ac:dyDescent="0.2">
      <c r="A29">
        <v>65</v>
      </c>
      <c r="B29" s="5">
        <v>298</v>
      </c>
      <c r="C29" s="14">
        <v>1.7430000000000001E-2</v>
      </c>
      <c r="D29" s="8">
        <v>6.6470000000000002</v>
      </c>
      <c r="E29" s="5">
        <v>267.5</v>
      </c>
      <c r="F29" s="11">
        <v>1099.5</v>
      </c>
      <c r="G29" s="5">
        <v>267.7</v>
      </c>
      <c r="H29" s="5">
        <v>911.9</v>
      </c>
      <c r="I29" s="11">
        <v>1179.5999999999999</v>
      </c>
      <c r="J29" s="8">
        <v>0.4345</v>
      </c>
      <c r="K29" s="8">
        <v>1.2035</v>
      </c>
      <c r="L29" s="8">
        <v>1.6379999999999999</v>
      </c>
      <c r="M29">
        <v>65</v>
      </c>
    </row>
    <row r="30" spans="1:13" x14ac:dyDescent="0.2">
      <c r="A30">
        <v>70</v>
      </c>
      <c r="B30" s="5">
        <v>302.95999999999998</v>
      </c>
      <c r="C30" s="14">
        <v>1.7479999999999999E-2</v>
      </c>
      <c r="D30" s="8">
        <v>6.2089999999999996</v>
      </c>
      <c r="E30" s="5">
        <v>272.60000000000002</v>
      </c>
      <c r="F30" s="11">
        <v>1100.5999999999999</v>
      </c>
      <c r="G30" s="5">
        <v>272.8</v>
      </c>
      <c r="H30" s="5">
        <v>908.3</v>
      </c>
      <c r="I30" s="11">
        <v>1181</v>
      </c>
      <c r="J30" s="8">
        <v>0.44119999999999998</v>
      </c>
      <c r="K30" s="8">
        <v>1.1909000000000001</v>
      </c>
      <c r="L30" s="8">
        <v>1.6321000000000001</v>
      </c>
      <c r="M30">
        <v>70</v>
      </c>
    </row>
    <row r="31" spans="1:13" x14ac:dyDescent="0.2">
      <c r="A31">
        <v>75</v>
      </c>
      <c r="B31" s="5">
        <v>307.63</v>
      </c>
      <c r="C31" s="14">
        <v>1.7520000000000001E-2</v>
      </c>
      <c r="D31" s="8">
        <v>5.8179999999999996</v>
      </c>
      <c r="E31" s="5">
        <v>277.39999999999998</v>
      </c>
      <c r="F31" s="11">
        <v>1101.5999999999999</v>
      </c>
      <c r="G31" s="5">
        <v>277.60000000000002</v>
      </c>
      <c r="H31" s="5">
        <v>904.8</v>
      </c>
      <c r="I31" s="11">
        <v>1182.4000000000001</v>
      </c>
      <c r="J31" s="8">
        <v>0.44750000000000001</v>
      </c>
      <c r="K31" s="8">
        <v>1.179</v>
      </c>
      <c r="L31" s="8">
        <v>1.6265000000000001</v>
      </c>
      <c r="M31">
        <v>75</v>
      </c>
    </row>
    <row r="32" spans="1:13" x14ac:dyDescent="0.2">
      <c r="A32">
        <v>80</v>
      </c>
      <c r="B32" s="5">
        <v>312.07</v>
      </c>
      <c r="C32" s="14">
        <v>1.7569999999999999E-2</v>
      </c>
      <c r="D32" s="8">
        <v>5.4740000000000002</v>
      </c>
      <c r="E32" s="5">
        <v>282</v>
      </c>
      <c r="F32" s="11">
        <v>1102.5999999999999</v>
      </c>
      <c r="G32" s="5">
        <v>282.2</v>
      </c>
      <c r="H32" s="5">
        <v>901.4</v>
      </c>
      <c r="I32" s="11">
        <v>1183.5999999999999</v>
      </c>
      <c r="J32" s="8">
        <v>0.45340000000000003</v>
      </c>
      <c r="K32" s="8">
        <v>1.1678999999999999</v>
      </c>
      <c r="L32" s="8">
        <v>1.6213</v>
      </c>
      <c r="M32">
        <v>80</v>
      </c>
    </row>
    <row r="33" spans="1:13" x14ac:dyDescent="0.2">
      <c r="A33">
        <v>85</v>
      </c>
      <c r="B33" s="5">
        <v>316.29000000000002</v>
      </c>
      <c r="C33" s="14">
        <v>1.7610000000000001E-2</v>
      </c>
      <c r="D33" s="8">
        <v>5.17</v>
      </c>
      <c r="E33" s="5">
        <v>286.3</v>
      </c>
      <c r="F33" s="11">
        <v>1103.5</v>
      </c>
      <c r="G33" s="5">
        <v>286.60000000000002</v>
      </c>
      <c r="H33" s="5">
        <v>898.2</v>
      </c>
      <c r="I33" s="11">
        <v>1184.8</v>
      </c>
      <c r="J33" s="8">
        <v>0.45910000000000001</v>
      </c>
      <c r="K33" s="8">
        <v>1.1574</v>
      </c>
      <c r="L33" s="8">
        <v>1.6165</v>
      </c>
      <c r="M33">
        <v>85</v>
      </c>
    </row>
    <row r="34" spans="1:13" x14ac:dyDescent="0.2">
      <c r="A34">
        <v>90</v>
      </c>
      <c r="B34" s="5">
        <v>320.31</v>
      </c>
      <c r="C34" s="14">
        <v>1.7659999999999999E-2</v>
      </c>
      <c r="D34" s="8">
        <v>4.8979999999999997</v>
      </c>
      <c r="E34" s="5">
        <v>290.5</v>
      </c>
      <c r="F34" s="11">
        <v>1104.3</v>
      </c>
      <c r="G34" s="5">
        <v>290.8</v>
      </c>
      <c r="H34" s="5">
        <v>895.1</v>
      </c>
      <c r="I34" s="11">
        <v>1185.9000000000001</v>
      </c>
      <c r="J34" s="8">
        <v>0.46439999999999998</v>
      </c>
      <c r="K34" s="8">
        <v>1.1475</v>
      </c>
      <c r="L34" s="8">
        <v>1.6119000000000001</v>
      </c>
      <c r="M34">
        <v>90</v>
      </c>
    </row>
    <row r="35" spans="1:13" x14ac:dyDescent="0.2">
      <c r="A35">
        <v>95</v>
      </c>
      <c r="B35" s="5">
        <v>324.16000000000003</v>
      </c>
      <c r="C35" s="14">
        <v>1.77E-2</v>
      </c>
      <c r="D35" s="8">
        <v>4.6539999999999999</v>
      </c>
      <c r="E35" s="5">
        <v>294.5</v>
      </c>
      <c r="F35" s="11">
        <v>1105</v>
      </c>
      <c r="G35" s="5">
        <v>294.8</v>
      </c>
      <c r="H35" s="5">
        <v>892.1</v>
      </c>
      <c r="I35" s="11">
        <v>1186.9000000000001</v>
      </c>
      <c r="J35" s="8">
        <v>0.46949999999999997</v>
      </c>
      <c r="K35" s="8">
        <v>1.1379999999999999</v>
      </c>
      <c r="L35" s="8">
        <v>1.6074999999999999</v>
      </c>
      <c r="M35">
        <v>95</v>
      </c>
    </row>
    <row r="36" spans="1:13" x14ac:dyDescent="0.2">
      <c r="A36">
        <v>100</v>
      </c>
      <c r="B36" s="5">
        <v>327.86</v>
      </c>
      <c r="C36" s="14">
        <v>1.7739999999999999E-2</v>
      </c>
      <c r="D36" s="8">
        <v>4.4340000000000002</v>
      </c>
      <c r="E36" s="5">
        <v>298.3</v>
      </c>
      <c r="F36" s="11">
        <v>1105.8</v>
      </c>
      <c r="G36" s="5">
        <v>298.60000000000002</v>
      </c>
      <c r="H36" s="5">
        <v>889.2</v>
      </c>
      <c r="I36" s="11">
        <v>1187.8</v>
      </c>
      <c r="J36" s="8">
        <v>0.47439999999999999</v>
      </c>
      <c r="K36" s="8">
        <v>1.129</v>
      </c>
      <c r="L36" s="8">
        <v>1.6033999999999999</v>
      </c>
      <c r="M36">
        <v>100</v>
      </c>
    </row>
    <row r="37" spans="1:13" x14ac:dyDescent="0.2">
      <c r="A37">
        <v>110</v>
      </c>
      <c r="B37" s="5">
        <v>334.82</v>
      </c>
      <c r="C37" s="14">
        <v>1.7809999999999999E-2</v>
      </c>
      <c r="D37" s="8">
        <v>4.0510000000000002</v>
      </c>
      <c r="E37" s="5">
        <v>305.5</v>
      </c>
      <c r="F37" s="11">
        <v>1107.0999999999999</v>
      </c>
      <c r="G37" s="5">
        <v>305.89999999999998</v>
      </c>
      <c r="H37" s="5">
        <v>883.7</v>
      </c>
      <c r="I37" s="11">
        <v>1189.5999999999999</v>
      </c>
      <c r="J37" s="8">
        <v>0.48359999999999997</v>
      </c>
      <c r="K37" s="8">
        <v>1.1122000000000001</v>
      </c>
      <c r="L37" s="8">
        <v>1.5958000000000001</v>
      </c>
      <c r="M37">
        <v>110</v>
      </c>
    </row>
    <row r="38" spans="1:13" x14ac:dyDescent="0.2">
      <c r="A38">
        <v>120</v>
      </c>
      <c r="B38" s="5">
        <v>341.3</v>
      </c>
      <c r="C38" s="14">
        <v>1.789E-2</v>
      </c>
      <c r="D38" s="8">
        <v>3.73</v>
      </c>
      <c r="E38" s="5">
        <v>312.3</v>
      </c>
      <c r="F38" s="11">
        <v>1108.3</v>
      </c>
      <c r="G38" s="5">
        <v>312.7</v>
      </c>
      <c r="H38" s="5">
        <v>878.5</v>
      </c>
      <c r="I38" s="11">
        <v>1191.0999999999999</v>
      </c>
      <c r="J38" s="8">
        <v>0.49199999999999999</v>
      </c>
      <c r="K38" s="8">
        <v>1.0966</v>
      </c>
      <c r="L38" s="8">
        <v>1.5886</v>
      </c>
      <c r="M38">
        <v>120</v>
      </c>
    </row>
    <row r="39" spans="1:13" x14ac:dyDescent="0.2">
      <c r="A39">
        <v>130</v>
      </c>
      <c r="B39" s="5">
        <v>347.37</v>
      </c>
      <c r="C39" s="14">
        <v>1.796E-2</v>
      </c>
      <c r="D39" s="8">
        <v>3.4569999999999999</v>
      </c>
      <c r="E39" s="5">
        <v>318.60000000000002</v>
      </c>
      <c r="F39" s="11">
        <v>1109.4000000000001</v>
      </c>
      <c r="G39" s="5">
        <v>319</v>
      </c>
      <c r="H39" s="5">
        <v>873.5</v>
      </c>
      <c r="I39" s="11">
        <v>1192.5</v>
      </c>
      <c r="J39" s="8">
        <v>0.49990000000000001</v>
      </c>
      <c r="K39" s="8">
        <v>1.0822000000000001</v>
      </c>
      <c r="L39" s="8">
        <v>1.5821000000000001</v>
      </c>
      <c r="M39">
        <v>130</v>
      </c>
    </row>
    <row r="40" spans="1:13" x14ac:dyDescent="0.2">
      <c r="A40">
        <v>140</v>
      </c>
      <c r="B40" s="5">
        <v>353.08</v>
      </c>
      <c r="C40" s="14">
        <v>1.8020000000000001E-2</v>
      </c>
      <c r="D40" s="8">
        <v>3.2210000000000001</v>
      </c>
      <c r="E40" s="5">
        <v>324.60000000000002</v>
      </c>
      <c r="F40" s="11">
        <v>1110.3</v>
      </c>
      <c r="G40" s="5">
        <v>325.10000000000002</v>
      </c>
      <c r="H40" s="5">
        <v>868.7</v>
      </c>
      <c r="I40" s="11">
        <v>1193.8</v>
      </c>
      <c r="J40" s="8">
        <v>0.50729999999999997</v>
      </c>
      <c r="K40" s="8">
        <v>1.0688</v>
      </c>
      <c r="L40" s="8">
        <v>1.5761000000000001</v>
      </c>
      <c r="M40">
        <v>140</v>
      </c>
    </row>
    <row r="41" spans="1:13" x14ac:dyDescent="0.2">
      <c r="A41">
        <v>150</v>
      </c>
      <c r="B41" s="5">
        <v>358.48</v>
      </c>
      <c r="C41" s="14">
        <v>1.8089999999999998E-2</v>
      </c>
      <c r="D41" s="8">
        <v>3.016</v>
      </c>
      <c r="E41" s="5">
        <v>330.2</v>
      </c>
      <c r="F41" s="11">
        <v>1111.2</v>
      </c>
      <c r="G41" s="5">
        <v>330.8</v>
      </c>
      <c r="H41" s="5">
        <v>864.2</v>
      </c>
      <c r="I41" s="11">
        <v>1194.9000000000001</v>
      </c>
      <c r="J41" s="8">
        <v>0.51419999999999999</v>
      </c>
      <c r="K41" s="8">
        <v>1.0562</v>
      </c>
      <c r="L41" s="8">
        <v>1.5704</v>
      </c>
      <c r="M41">
        <v>150</v>
      </c>
    </row>
    <row r="42" spans="1:13" x14ac:dyDescent="0.2">
      <c r="A42">
        <v>160</v>
      </c>
      <c r="B42" s="5">
        <v>363.6</v>
      </c>
      <c r="C42" s="14">
        <v>1.8149999999999999E-2</v>
      </c>
      <c r="D42" s="8">
        <v>2.8359999999999999</v>
      </c>
      <c r="E42" s="5">
        <v>335.6</v>
      </c>
      <c r="F42" s="11">
        <v>1112</v>
      </c>
      <c r="G42" s="5">
        <v>336.2</v>
      </c>
      <c r="H42" s="5">
        <v>859.8</v>
      </c>
      <c r="I42" s="11">
        <v>1196</v>
      </c>
      <c r="J42" s="8">
        <v>0.52080000000000004</v>
      </c>
      <c r="K42" s="8">
        <v>1.0443</v>
      </c>
      <c r="L42" s="8">
        <v>1.5650999999999999</v>
      </c>
      <c r="M42">
        <v>160</v>
      </c>
    </row>
    <row r="43" spans="1:13" x14ac:dyDescent="0.2">
      <c r="A43">
        <v>170</v>
      </c>
      <c r="B43" s="5">
        <v>368.47</v>
      </c>
      <c r="C43" s="14">
        <v>1.821E-2</v>
      </c>
      <c r="D43" s="8">
        <v>2.6760000000000002</v>
      </c>
      <c r="E43" s="5">
        <v>340.8</v>
      </c>
      <c r="F43" s="11">
        <v>1112.7</v>
      </c>
      <c r="G43" s="5">
        <v>341.3</v>
      </c>
      <c r="H43" s="5">
        <v>855.6</v>
      </c>
      <c r="I43" s="11">
        <v>1196.9000000000001</v>
      </c>
      <c r="J43" s="8">
        <v>0.52700000000000002</v>
      </c>
      <c r="K43" s="8">
        <v>1.0329999999999999</v>
      </c>
      <c r="L43" s="8">
        <v>1.56</v>
      </c>
      <c r="M43">
        <v>170</v>
      </c>
    </row>
    <row r="44" spans="1:13" x14ac:dyDescent="0.2">
      <c r="A44">
        <v>180</v>
      </c>
      <c r="B44" s="5">
        <v>373.13</v>
      </c>
      <c r="C44" s="14">
        <v>1.8270000000000002E-2</v>
      </c>
      <c r="D44" s="8">
        <v>2.5529999999999999</v>
      </c>
      <c r="E44" s="5">
        <v>345.7</v>
      </c>
      <c r="F44" s="11">
        <v>1113.4000000000001</v>
      </c>
      <c r="G44" s="5">
        <v>346.3</v>
      </c>
      <c r="H44" s="5">
        <v>851.5</v>
      </c>
      <c r="I44" s="11">
        <v>1197.8</v>
      </c>
      <c r="J44" s="8">
        <v>0.53290000000000004</v>
      </c>
      <c r="K44" s="8">
        <v>1.0223</v>
      </c>
      <c r="L44" s="8">
        <v>1.5551999999999999</v>
      </c>
      <c r="M44">
        <v>180</v>
      </c>
    </row>
    <row r="45" spans="1:13" x14ac:dyDescent="0.2">
      <c r="A45">
        <v>190</v>
      </c>
      <c r="B45" s="5">
        <v>377.59</v>
      </c>
      <c r="C45" s="14">
        <v>1.8329999999999999E-2</v>
      </c>
      <c r="D45" s="8">
        <v>2.4049999999999998</v>
      </c>
      <c r="E45" s="5">
        <v>350.4</v>
      </c>
      <c r="F45" s="11">
        <v>1114</v>
      </c>
      <c r="G45" s="5">
        <v>351</v>
      </c>
      <c r="H45" s="5">
        <v>847.5</v>
      </c>
      <c r="I45" s="11">
        <v>1198.5999999999999</v>
      </c>
      <c r="J45" s="8">
        <v>0.53859999999999997</v>
      </c>
      <c r="K45" s="8">
        <v>1.0122</v>
      </c>
      <c r="L45" s="8">
        <v>1.5508</v>
      </c>
      <c r="M45">
        <v>190</v>
      </c>
    </row>
    <row r="46" spans="1:13" x14ac:dyDescent="0.2">
      <c r="A46">
        <v>200</v>
      </c>
      <c r="B46" s="5">
        <v>381.86</v>
      </c>
      <c r="C46" s="14">
        <v>1.839E-2</v>
      </c>
      <c r="D46" s="8">
        <v>2.2890000000000001</v>
      </c>
      <c r="E46" s="5">
        <v>354.9</v>
      </c>
      <c r="F46" s="11">
        <v>1114.5999999999999</v>
      </c>
      <c r="G46" s="5">
        <v>355.6</v>
      </c>
      <c r="H46" s="5">
        <v>843.7</v>
      </c>
      <c r="I46" s="11">
        <v>1199.3</v>
      </c>
      <c r="J46" s="8">
        <v>0.54400000000000004</v>
      </c>
      <c r="K46" s="8">
        <v>1.0024999999999999</v>
      </c>
      <c r="L46" s="8">
        <v>1.5465</v>
      </c>
      <c r="M46">
        <v>200</v>
      </c>
    </row>
    <row r="47" spans="1:13" x14ac:dyDescent="0.2">
      <c r="A47">
        <v>250</v>
      </c>
      <c r="B47" s="5">
        <v>401.04</v>
      </c>
      <c r="C47" s="14">
        <v>1.865E-2</v>
      </c>
      <c r="D47" s="8">
        <v>1.845</v>
      </c>
      <c r="E47" s="5">
        <v>375.4</v>
      </c>
      <c r="F47" s="11">
        <v>1116.7</v>
      </c>
      <c r="G47" s="5">
        <v>376.2</v>
      </c>
      <c r="H47" s="5">
        <v>825.8</v>
      </c>
      <c r="I47" s="11">
        <v>1202.0999999999999</v>
      </c>
      <c r="J47" s="8">
        <v>0.56799999999999995</v>
      </c>
      <c r="K47" s="8">
        <v>0.95940000000000003</v>
      </c>
      <c r="L47" s="8">
        <v>1.5274000000000001</v>
      </c>
      <c r="M47">
        <v>250</v>
      </c>
    </row>
    <row r="48" spans="1:13" x14ac:dyDescent="0.2">
      <c r="A48">
        <v>300</v>
      </c>
      <c r="B48" s="5">
        <v>417.43</v>
      </c>
      <c r="C48" s="14">
        <v>1.89E-2</v>
      </c>
      <c r="D48" s="8">
        <v>1.544</v>
      </c>
      <c r="E48" s="5">
        <v>393</v>
      </c>
      <c r="F48" s="11">
        <v>1118.2</v>
      </c>
      <c r="G48" s="5">
        <v>394.1</v>
      </c>
      <c r="H48" s="5">
        <v>809.8</v>
      </c>
      <c r="I48" s="11">
        <v>1203.9000000000001</v>
      </c>
      <c r="J48" s="8">
        <v>0.58830000000000005</v>
      </c>
      <c r="K48" s="8">
        <v>0.92320000000000002</v>
      </c>
      <c r="L48" s="8">
        <v>1.5115000000000001</v>
      </c>
      <c r="M48">
        <v>300</v>
      </c>
    </row>
    <row r="49" spans="1:13" x14ac:dyDescent="0.2">
      <c r="A49">
        <v>350</v>
      </c>
      <c r="B49" s="5">
        <v>431.82</v>
      </c>
      <c r="C49" s="14">
        <v>1.9120000000000002E-2</v>
      </c>
      <c r="D49" s="8">
        <v>1.327</v>
      </c>
      <c r="E49" s="5">
        <v>408.7</v>
      </c>
      <c r="F49" s="11">
        <v>1119</v>
      </c>
      <c r="G49" s="5">
        <v>409.9</v>
      </c>
      <c r="H49" s="5">
        <v>795</v>
      </c>
      <c r="I49" s="11">
        <v>1204.9000000000001</v>
      </c>
      <c r="J49" s="8">
        <v>0.60599999999999998</v>
      </c>
      <c r="K49" s="8">
        <v>0.89170000000000005</v>
      </c>
      <c r="L49" s="8">
        <v>1.4977</v>
      </c>
      <c r="M49">
        <v>350</v>
      </c>
    </row>
    <row r="50" spans="1:13" x14ac:dyDescent="0.2">
      <c r="A50">
        <v>400</v>
      </c>
      <c r="B50" s="5">
        <v>444.7</v>
      </c>
      <c r="C50" s="14">
        <v>1.934E-2</v>
      </c>
      <c r="D50" s="8">
        <v>1.1619999999999999</v>
      </c>
      <c r="E50" s="5">
        <v>422.8</v>
      </c>
      <c r="F50" s="11">
        <v>1119.5</v>
      </c>
      <c r="G50" s="5">
        <v>424.2</v>
      </c>
      <c r="H50" s="5">
        <v>781.2</v>
      </c>
      <c r="I50" s="11">
        <v>1205.5</v>
      </c>
      <c r="J50" s="8">
        <v>0.62180000000000002</v>
      </c>
      <c r="K50" s="8">
        <v>0.86380000000000001</v>
      </c>
      <c r="L50" s="8">
        <v>1.4856</v>
      </c>
      <c r="M50">
        <v>400</v>
      </c>
    </row>
    <row r="51" spans="1:13" x14ac:dyDescent="0.2">
      <c r="A51">
        <v>450</v>
      </c>
      <c r="B51" s="5">
        <v>456.39</v>
      </c>
      <c r="C51" s="14">
        <v>1.9550000000000001E-2</v>
      </c>
      <c r="D51" s="8">
        <v>1.0329999999999999</v>
      </c>
      <c r="E51" s="5">
        <v>435.7</v>
      </c>
      <c r="F51" s="11">
        <v>1119.5999999999999</v>
      </c>
      <c r="G51" s="5">
        <v>437.4</v>
      </c>
      <c r="H51" s="5">
        <v>768.2</v>
      </c>
      <c r="I51" s="11">
        <v>1205.5999999999999</v>
      </c>
      <c r="J51" s="8">
        <v>0.63600000000000001</v>
      </c>
      <c r="K51" s="8">
        <v>0.83850000000000002</v>
      </c>
      <c r="L51" s="8">
        <v>1.4744999999999999</v>
      </c>
      <c r="M51">
        <v>450</v>
      </c>
    </row>
    <row r="52" spans="1:13" x14ac:dyDescent="0.2">
      <c r="A52">
        <v>500</v>
      </c>
      <c r="B52" s="5">
        <v>467.13</v>
      </c>
      <c r="C52" s="14">
        <v>1.975E-2</v>
      </c>
      <c r="D52" s="8">
        <v>0.92800000000000005</v>
      </c>
      <c r="E52" s="5">
        <v>447.7</v>
      </c>
      <c r="F52" s="11">
        <v>1119.4000000000001</v>
      </c>
      <c r="G52" s="5">
        <v>449.5</v>
      </c>
      <c r="H52" s="5">
        <v>755.8</v>
      </c>
      <c r="I52" s="11">
        <v>1205.3</v>
      </c>
      <c r="J52" s="8">
        <v>0.64900000000000002</v>
      </c>
      <c r="K52" s="8">
        <v>0.81540000000000001</v>
      </c>
      <c r="L52" s="8">
        <v>1.4643999999999999</v>
      </c>
      <c r="M52">
        <v>500</v>
      </c>
    </row>
    <row r="53" spans="1:13" x14ac:dyDescent="0.2">
      <c r="A53">
        <v>550</v>
      </c>
      <c r="B53" s="5">
        <v>477.07</v>
      </c>
      <c r="C53" s="14">
        <v>1.9939999999999999E-2</v>
      </c>
      <c r="D53" s="8">
        <v>0.84199999999999997</v>
      </c>
      <c r="E53" s="5">
        <v>458.9</v>
      </c>
      <c r="F53" s="11">
        <v>1119.0999999999999</v>
      </c>
      <c r="G53" s="5">
        <v>460.9</v>
      </c>
      <c r="H53" s="5">
        <v>743.9</v>
      </c>
      <c r="I53" s="11">
        <v>1204.8</v>
      </c>
      <c r="J53" s="8">
        <v>0.66110000000000002</v>
      </c>
      <c r="K53" s="8">
        <v>0.79410000000000003</v>
      </c>
      <c r="L53" s="8">
        <v>1.4451000000000001</v>
      </c>
      <c r="M53">
        <v>550</v>
      </c>
    </row>
    <row r="54" spans="1:13" x14ac:dyDescent="0.2">
      <c r="A54">
        <v>600</v>
      </c>
      <c r="B54" s="5">
        <v>486.33</v>
      </c>
      <c r="C54" s="14">
        <v>2.0129999999999999E-2</v>
      </c>
      <c r="D54" s="8">
        <v>0.77</v>
      </c>
      <c r="E54" s="5">
        <v>469.4</v>
      </c>
      <c r="F54" s="11">
        <v>1118.5999999999999</v>
      </c>
      <c r="G54" s="5">
        <v>471.7</v>
      </c>
      <c r="H54" s="5">
        <v>732.4</v>
      </c>
      <c r="I54" s="11">
        <v>1204.0999999999999</v>
      </c>
      <c r="J54" s="8">
        <v>0.67230000000000001</v>
      </c>
      <c r="K54" s="8">
        <v>0.7742</v>
      </c>
      <c r="L54" s="8">
        <v>1.4463999999999999</v>
      </c>
      <c r="M54">
        <v>600</v>
      </c>
    </row>
    <row r="55" spans="1:13" x14ac:dyDescent="0.2">
      <c r="A55">
        <v>700</v>
      </c>
      <c r="B55" s="5">
        <v>503.23</v>
      </c>
      <c r="C55" s="14">
        <v>2.051E-2</v>
      </c>
      <c r="D55" s="8">
        <v>0.65600000000000003</v>
      </c>
      <c r="E55" s="5">
        <v>488.9</v>
      </c>
      <c r="F55" s="11">
        <v>1117</v>
      </c>
      <c r="G55" s="5">
        <v>491.5</v>
      </c>
      <c r="H55" s="5">
        <v>710.5</v>
      </c>
      <c r="I55" s="11">
        <v>1202</v>
      </c>
      <c r="J55" s="8">
        <v>0.69269999999999998</v>
      </c>
      <c r="K55" s="8">
        <v>0.73780000000000001</v>
      </c>
      <c r="L55" s="8">
        <v>1.4305000000000001</v>
      </c>
      <c r="M55">
        <v>700</v>
      </c>
    </row>
    <row r="56" spans="1:13" x14ac:dyDescent="0.2">
      <c r="A56">
        <v>800</v>
      </c>
      <c r="B56" s="5">
        <v>518.36</v>
      </c>
      <c r="C56" s="14">
        <v>2.087E-2</v>
      </c>
      <c r="D56" s="8">
        <v>0.56899999999999995</v>
      </c>
      <c r="E56" s="5">
        <v>506.6</v>
      </c>
      <c r="F56" s="11">
        <v>1115</v>
      </c>
      <c r="G56" s="5">
        <v>509.7</v>
      </c>
      <c r="H56" s="5">
        <v>689.6</v>
      </c>
      <c r="I56" s="11">
        <v>1199.3</v>
      </c>
      <c r="J56" s="8">
        <v>0.71099999999999997</v>
      </c>
      <c r="K56" s="8">
        <v>0.70499999999999996</v>
      </c>
      <c r="L56" s="8">
        <v>1.4159999999999999</v>
      </c>
      <c r="M56">
        <v>800</v>
      </c>
    </row>
    <row r="57" spans="1:13" x14ac:dyDescent="0.2">
      <c r="A57">
        <v>900</v>
      </c>
      <c r="B57" s="5">
        <v>532.12</v>
      </c>
      <c r="C57" s="14">
        <v>2.1229999999999999E-2</v>
      </c>
      <c r="D57" s="8">
        <v>0.501</v>
      </c>
      <c r="E57" s="5">
        <v>523</v>
      </c>
      <c r="F57" s="11">
        <v>1112.5999999999999</v>
      </c>
      <c r="G57" s="5">
        <v>526.6</v>
      </c>
      <c r="H57" s="5">
        <v>669.5</v>
      </c>
      <c r="I57" s="11">
        <v>1196</v>
      </c>
      <c r="J57" s="8">
        <v>0.72770000000000001</v>
      </c>
      <c r="K57" s="8">
        <v>0.67500000000000004</v>
      </c>
      <c r="L57" s="8">
        <v>1.4027000000000001</v>
      </c>
      <c r="M57">
        <v>900</v>
      </c>
    </row>
    <row r="58" spans="1:13" x14ac:dyDescent="0.2">
      <c r="A58">
        <v>1000</v>
      </c>
      <c r="B58" s="5">
        <v>544.75</v>
      </c>
      <c r="C58" s="14">
        <v>2.1590000000000002E-2</v>
      </c>
      <c r="D58" s="8">
        <v>0.44600000000000001</v>
      </c>
      <c r="E58" s="5">
        <v>538.4</v>
      </c>
      <c r="F58" s="11">
        <v>1109.9000000000001</v>
      </c>
      <c r="G58" s="5">
        <v>542.4</v>
      </c>
      <c r="H58" s="5">
        <v>650</v>
      </c>
      <c r="I58" s="11">
        <v>1192.4000000000001</v>
      </c>
      <c r="J58" s="8">
        <v>0.74319999999999997</v>
      </c>
      <c r="K58" s="8">
        <v>0.64710000000000001</v>
      </c>
      <c r="L58" s="8">
        <v>1.3903000000000001</v>
      </c>
      <c r="M58">
        <v>1000</v>
      </c>
    </row>
    <row r="59" spans="1:13" x14ac:dyDescent="0.2">
      <c r="A59">
        <v>1100</v>
      </c>
      <c r="B59" s="5">
        <v>556.45000000000005</v>
      </c>
      <c r="C59" s="14">
        <v>2.1950000000000001E-2</v>
      </c>
      <c r="D59" s="8">
        <v>0.40100000000000002</v>
      </c>
      <c r="E59" s="5">
        <v>552.9</v>
      </c>
      <c r="F59" s="11">
        <v>1106.8</v>
      </c>
      <c r="G59" s="5">
        <v>557.4</v>
      </c>
      <c r="H59" s="5">
        <v>631</v>
      </c>
      <c r="I59" s="11">
        <v>1188.3</v>
      </c>
      <c r="J59" s="8">
        <v>0.75760000000000005</v>
      </c>
      <c r="K59" s="8">
        <v>0.62090000000000001</v>
      </c>
      <c r="L59" s="8">
        <v>1.3786</v>
      </c>
      <c r="M59">
        <v>1100</v>
      </c>
    </row>
    <row r="60" spans="1:13" x14ac:dyDescent="0.2">
      <c r="A60">
        <v>1200</v>
      </c>
      <c r="B60" s="5">
        <v>567.37</v>
      </c>
      <c r="C60" s="14">
        <v>2.232E-2</v>
      </c>
      <c r="D60" s="8">
        <v>0.36199999999999999</v>
      </c>
      <c r="E60" s="5">
        <v>566.70000000000005</v>
      </c>
      <c r="F60" s="11">
        <v>1103.5</v>
      </c>
      <c r="G60" s="5">
        <v>571.70000000000005</v>
      </c>
      <c r="H60" s="5">
        <v>612.29999999999995</v>
      </c>
      <c r="I60" s="11">
        <v>1183.9000000000001</v>
      </c>
      <c r="J60" s="8">
        <v>0.7712</v>
      </c>
      <c r="K60" s="8">
        <v>0.59609999999999996</v>
      </c>
      <c r="L60" s="8">
        <v>1.3673</v>
      </c>
      <c r="M60">
        <v>1200</v>
      </c>
    </row>
    <row r="61" spans="1:13" x14ac:dyDescent="0.2">
      <c r="A61">
        <v>1300</v>
      </c>
      <c r="B61" s="5">
        <v>577.6</v>
      </c>
      <c r="C61" s="14">
        <v>2.2689999999999998E-2</v>
      </c>
      <c r="D61" s="8">
        <v>0.33</v>
      </c>
      <c r="E61" s="5">
        <v>579.9</v>
      </c>
      <c r="F61" s="11">
        <v>1099.8</v>
      </c>
      <c r="G61" s="5">
        <v>585.4</v>
      </c>
      <c r="H61" s="5">
        <v>593.79999999999995</v>
      </c>
      <c r="I61" s="11">
        <v>1179.2</v>
      </c>
      <c r="J61" s="8">
        <v>0.78410000000000002</v>
      </c>
      <c r="K61" s="8">
        <v>0.57240000000000002</v>
      </c>
      <c r="L61" s="8">
        <v>1.3565</v>
      </c>
      <c r="M61">
        <v>1300</v>
      </c>
    </row>
    <row r="62" spans="1:13" x14ac:dyDescent="0.2">
      <c r="A62">
        <v>1400</v>
      </c>
      <c r="B62" s="5">
        <v>587.25</v>
      </c>
      <c r="C62" s="14">
        <v>2.307E-2</v>
      </c>
      <c r="D62" s="8">
        <v>0.30199999999999999</v>
      </c>
      <c r="E62" s="5">
        <v>592.70000000000005</v>
      </c>
      <c r="F62" s="11">
        <v>1096</v>
      </c>
      <c r="G62" s="5">
        <v>598.6</v>
      </c>
      <c r="H62" s="5">
        <v>575.5</v>
      </c>
      <c r="I62" s="11">
        <v>1174.0999999999999</v>
      </c>
      <c r="J62" s="8">
        <v>0.7964</v>
      </c>
      <c r="K62" s="8">
        <v>0.54969999999999997</v>
      </c>
      <c r="L62" s="8">
        <v>1.3461000000000001</v>
      </c>
      <c r="M62">
        <v>1400</v>
      </c>
    </row>
    <row r="63" spans="1:13" x14ac:dyDescent="0.2">
      <c r="A63">
        <v>1500</v>
      </c>
      <c r="B63" s="5">
        <v>596.39</v>
      </c>
      <c r="C63" s="14">
        <v>2.3460000000000002E-2</v>
      </c>
      <c r="D63" s="8">
        <v>0.27700000000000002</v>
      </c>
      <c r="E63" s="5">
        <v>605</v>
      </c>
      <c r="F63" s="11">
        <v>1091.8</v>
      </c>
      <c r="G63" s="5">
        <v>611.5</v>
      </c>
      <c r="H63" s="5">
        <v>557.20000000000005</v>
      </c>
      <c r="I63" s="11">
        <v>1168.7</v>
      </c>
      <c r="J63" s="8">
        <v>0.80820000000000003</v>
      </c>
      <c r="K63" s="8">
        <v>0.52759999999999996</v>
      </c>
      <c r="L63" s="8">
        <v>1.3359000000000001</v>
      </c>
      <c r="M63">
        <v>1500</v>
      </c>
    </row>
    <row r="64" spans="1:13" x14ac:dyDescent="0.2">
      <c r="A64">
        <v>1600</v>
      </c>
      <c r="B64" s="5">
        <v>605.05999999999995</v>
      </c>
      <c r="C64" s="14">
        <v>2.3859999999999999E-2</v>
      </c>
      <c r="D64" s="8">
        <v>0.255</v>
      </c>
      <c r="E64" s="5">
        <v>616.9</v>
      </c>
      <c r="F64" s="11">
        <v>1087.4000000000001</v>
      </c>
      <c r="G64" s="5">
        <v>624</v>
      </c>
      <c r="H64" s="5">
        <v>538.9</v>
      </c>
      <c r="I64" s="11">
        <v>1162.9000000000001</v>
      </c>
      <c r="J64" s="8">
        <v>0.8196</v>
      </c>
      <c r="K64" s="8">
        <v>0.50619999999999998</v>
      </c>
      <c r="L64" s="8">
        <v>1.3258000000000001</v>
      </c>
      <c r="M64">
        <v>1600</v>
      </c>
    </row>
    <row r="65" spans="1:13" x14ac:dyDescent="0.2">
      <c r="A65">
        <v>1700</v>
      </c>
      <c r="B65" s="5">
        <v>613.32000000000005</v>
      </c>
      <c r="C65" s="14">
        <v>2.4279999999999999E-2</v>
      </c>
      <c r="D65" s="8">
        <v>0.23599999999999999</v>
      </c>
      <c r="E65" s="5">
        <v>628.6</v>
      </c>
      <c r="F65" s="11">
        <v>1082.7</v>
      </c>
      <c r="G65" s="5">
        <v>636.20000000000005</v>
      </c>
      <c r="H65" s="5">
        <v>520.6</v>
      </c>
      <c r="I65" s="11">
        <v>1156.9000000000001</v>
      </c>
      <c r="J65" s="8">
        <v>0.83069999999999999</v>
      </c>
      <c r="K65" s="8">
        <v>0.48520000000000002</v>
      </c>
      <c r="L65" s="8">
        <v>1.3159000000000001</v>
      </c>
      <c r="M65">
        <v>1700</v>
      </c>
    </row>
    <row r="66" spans="1:13" x14ac:dyDescent="0.2">
      <c r="A66">
        <v>1800</v>
      </c>
      <c r="B66" s="5">
        <v>621.21</v>
      </c>
      <c r="C66" s="14">
        <v>2.4719999999999999E-2</v>
      </c>
      <c r="D66" s="8">
        <v>0.218</v>
      </c>
      <c r="E66" s="5">
        <v>640</v>
      </c>
      <c r="F66" s="11">
        <v>1077.7</v>
      </c>
      <c r="G66" s="5">
        <v>648.29999999999995</v>
      </c>
      <c r="H66" s="5">
        <v>502.1</v>
      </c>
      <c r="I66" s="11">
        <v>1150.4000000000001</v>
      </c>
      <c r="J66" s="8">
        <v>0.84140000000000004</v>
      </c>
      <c r="K66" s="8">
        <v>0.46450000000000002</v>
      </c>
      <c r="L66" s="8">
        <v>1.306</v>
      </c>
      <c r="M66">
        <v>1800</v>
      </c>
    </row>
    <row r="67" spans="1:13" x14ac:dyDescent="0.2">
      <c r="A67">
        <v>1900</v>
      </c>
      <c r="B67" s="5">
        <v>628.76</v>
      </c>
      <c r="C67" s="14">
        <v>2.5170000000000001E-2</v>
      </c>
      <c r="D67" s="8">
        <v>0.20300000000000001</v>
      </c>
      <c r="E67" s="5">
        <v>651.29999999999995</v>
      </c>
      <c r="F67" s="11">
        <v>1072.3</v>
      </c>
      <c r="G67" s="5">
        <v>660.1</v>
      </c>
      <c r="H67" s="5">
        <v>483.4</v>
      </c>
      <c r="I67" s="11">
        <v>1143.5</v>
      </c>
      <c r="J67" s="8">
        <v>0.85189999999999999</v>
      </c>
      <c r="K67" s="8">
        <v>0.44409999999999999</v>
      </c>
      <c r="L67" s="8">
        <v>1.2961</v>
      </c>
      <c r="M67">
        <v>1900</v>
      </c>
    </row>
    <row r="68" spans="1:13" x14ac:dyDescent="0.2">
      <c r="A68">
        <v>2000</v>
      </c>
      <c r="B68" s="5">
        <v>636</v>
      </c>
      <c r="C68" s="14">
        <v>2.5649999999999999E-2</v>
      </c>
      <c r="D68" s="8">
        <v>0.188</v>
      </c>
      <c r="E68" s="5">
        <v>662.4</v>
      </c>
      <c r="F68" s="11">
        <v>1066.5999999999999</v>
      </c>
      <c r="G68" s="5">
        <v>671.9</v>
      </c>
      <c r="H68" s="5">
        <v>464.4</v>
      </c>
      <c r="I68" s="11">
        <v>1136.3</v>
      </c>
      <c r="J68" s="8">
        <v>0.86229999999999996</v>
      </c>
      <c r="K68" s="8">
        <v>0.42380000000000001</v>
      </c>
      <c r="L68" s="8">
        <v>1.2861</v>
      </c>
      <c r="M68">
        <v>2000</v>
      </c>
    </row>
    <row r="69" spans="1:13" x14ac:dyDescent="0.2">
      <c r="A69">
        <v>2250</v>
      </c>
      <c r="B69" s="5">
        <v>652.9</v>
      </c>
      <c r="C69" s="14">
        <v>2.6980000000000001E-2</v>
      </c>
      <c r="D69" s="8">
        <v>0.157</v>
      </c>
      <c r="E69" s="5">
        <v>689.9</v>
      </c>
      <c r="F69" s="11">
        <v>1050.5999999999999</v>
      </c>
      <c r="G69" s="5">
        <v>701.1</v>
      </c>
      <c r="H69" s="5">
        <v>414.8</v>
      </c>
      <c r="I69" s="11">
        <v>1115.9000000000001</v>
      </c>
      <c r="J69" s="8">
        <v>0.88759999999999994</v>
      </c>
      <c r="K69" s="8">
        <v>0.37280000000000002</v>
      </c>
      <c r="L69" s="8">
        <v>1.2604</v>
      </c>
      <c r="M69">
        <v>2250</v>
      </c>
    </row>
    <row r="70" spans="1:13" x14ac:dyDescent="0.2">
      <c r="A70">
        <v>2500</v>
      </c>
      <c r="B70" s="5">
        <v>668.31</v>
      </c>
      <c r="C70" s="14">
        <v>2.86E-2</v>
      </c>
      <c r="D70" s="8">
        <v>0.13100000000000001</v>
      </c>
      <c r="E70" s="5">
        <v>717.7</v>
      </c>
      <c r="F70" s="11">
        <v>1031</v>
      </c>
      <c r="G70" s="5">
        <v>730.9</v>
      </c>
      <c r="H70" s="5">
        <v>360.5</v>
      </c>
      <c r="I70" s="11">
        <v>1091.4000000000001</v>
      </c>
      <c r="J70" s="8">
        <v>0.91310000000000002</v>
      </c>
      <c r="K70" s="8">
        <v>0.3196</v>
      </c>
      <c r="L70" s="8">
        <v>1.2326999999999999</v>
      </c>
      <c r="M70">
        <v>2500</v>
      </c>
    </row>
    <row r="71" spans="1:13" x14ac:dyDescent="0.2">
      <c r="A71">
        <v>2750</v>
      </c>
      <c r="B71" s="5">
        <v>682.46</v>
      </c>
      <c r="C71" s="14">
        <v>3.0769999999999999E-2</v>
      </c>
      <c r="D71" s="8">
        <v>0.107</v>
      </c>
      <c r="E71" s="5">
        <v>747.3</v>
      </c>
      <c r="F71" s="11">
        <v>1005.9</v>
      </c>
      <c r="G71" s="5">
        <v>763</v>
      </c>
      <c r="H71" s="5">
        <v>297.39999999999998</v>
      </c>
      <c r="I71" s="11">
        <v>1060.4000000000001</v>
      </c>
      <c r="J71" s="8">
        <v>0.94010000000000005</v>
      </c>
      <c r="K71" s="8">
        <v>0.26040000000000002</v>
      </c>
      <c r="L71" s="8">
        <v>1.2004999999999999</v>
      </c>
      <c r="M71">
        <v>2750</v>
      </c>
    </row>
    <row r="72" spans="1:13" x14ac:dyDescent="0.2">
      <c r="A72">
        <v>3000</v>
      </c>
      <c r="B72" s="5">
        <v>695.52</v>
      </c>
      <c r="C72" s="14">
        <v>3.431E-2</v>
      </c>
      <c r="D72" s="8">
        <v>8.4000000000000005E-2</v>
      </c>
      <c r="E72" s="5">
        <v>783.4</v>
      </c>
      <c r="F72" s="11">
        <v>968.8</v>
      </c>
      <c r="G72" s="5">
        <v>802.5</v>
      </c>
      <c r="H72" s="5">
        <v>213</v>
      </c>
      <c r="I72" s="11">
        <v>1015.5</v>
      </c>
      <c r="J72" s="8">
        <v>0.97319999999999995</v>
      </c>
      <c r="K72" s="8">
        <v>0.18429999999999999</v>
      </c>
      <c r="L72" s="8">
        <v>1.1575</v>
      </c>
      <c r="M72">
        <v>3000</v>
      </c>
    </row>
    <row r="73" spans="1:13" x14ac:dyDescent="0.2">
      <c r="A73">
        <v>3203.6</v>
      </c>
      <c r="B73" s="5">
        <v>705.44</v>
      </c>
      <c r="C73" s="14">
        <v>5.0529999999999999E-2</v>
      </c>
      <c r="D73" s="8">
        <v>5.0500000000000003E-2</v>
      </c>
      <c r="E73" s="5">
        <v>872.6</v>
      </c>
      <c r="F73" s="11">
        <v>872.6</v>
      </c>
      <c r="G73" s="5">
        <v>902.5</v>
      </c>
      <c r="H73" s="5">
        <v>0</v>
      </c>
      <c r="I73" s="11">
        <v>902.5</v>
      </c>
      <c r="J73" s="8">
        <v>1.0580000000000001</v>
      </c>
      <c r="K73" s="8">
        <v>0</v>
      </c>
      <c r="L73" s="8">
        <v>1.0580000000000001</v>
      </c>
      <c r="M73">
        <v>3203.6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8"/>
  <sheetViews>
    <sheetView workbookViewId="0">
      <pane ySplit="2" topLeftCell="A350" activePane="bottomLeft" state="frozen"/>
      <selection pane="bottomLeft" activeCell="A2" sqref="A2:G368"/>
    </sheetView>
  </sheetViews>
  <sheetFormatPr defaultRowHeight="11.25" x14ac:dyDescent="0.2"/>
  <cols>
    <col min="1" max="2" width="7.1640625" customWidth="1"/>
    <col min="3" max="3" width="8" bestFit="1" customWidth="1"/>
    <col min="4" max="4" width="10.1640625" style="3" bestFit="1" customWidth="1"/>
    <col min="5" max="6" width="9.83203125" style="11" bestFit="1" customWidth="1"/>
    <col min="7" max="7" width="11.5" style="8" bestFit="1" customWidth="1"/>
  </cols>
  <sheetData>
    <row r="1" spans="1:7" ht="15.75" x14ac:dyDescent="0.25">
      <c r="A1" s="10" t="s">
        <v>34</v>
      </c>
    </row>
    <row r="2" spans="1:7" x14ac:dyDescent="0.2">
      <c r="A2" s="45" t="s">
        <v>35</v>
      </c>
      <c r="B2" s="36" t="s">
        <v>35</v>
      </c>
      <c r="C2" s="36" t="s">
        <v>36</v>
      </c>
      <c r="D2" s="37" t="s">
        <v>37</v>
      </c>
      <c r="E2" s="38" t="s">
        <v>38</v>
      </c>
      <c r="F2" s="38" t="s">
        <v>39</v>
      </c>
      <c r="G2" s="39" t="s">
        <v>40</v>
      </c>
    </row>
    <row r="3" spans="1:7" x14ac:dyDescent="0.2">
      <c r="A3" s="63">
        <v>1</v>
      </c>
      <c r="B3" s="19">
        <v>1</v>
      </c>
      <c r="C3" s="22">
        <v>101.7</v>
      </c>
      <c r="D3" s="23">
        <v>333.6</v>
      </c>
      <c r="E3" s="24">
        <v>1044</v>
      </c>
      <c r="F3" s="24">
        <v>1105.8</v>
      </c>
      <c r="G3" s="25">
        <v>1.9779</v>
      </c>
    </row>
    <row r="4" spans="1:7" x14ac:dyDescent="0.2">
      <c r="A4" s="64" t="s">
        <v>80</v>
      </c>
      <c r="B4" s="20">
        <v>1</v>
      </c>
      <c r="C4" s="26">
        <v>150</v>
      </c>
      <c r="D4" s="27">
        <v>362.6</v>
      </c>
      <c r="E4" s="28">
        <v>1060.4000000000001</v>
      </c>
      <c r="F4" s="28">
        <v>1127.5</v>
      </c>
      <c r="G4" s="29">
        <v>2.0150999999999999</v>
      </c>
    </row>
    <row r="5" spans="1:7" x14ac:dyDescent="0.2">
      <c r="A5" s="64" t="s">
        <v>80</v>
      </c>
      <c r="B5" s="20">
        <v>1</v>
      </c>
      <c r="C5" s="26">
        <v>200</v>
      </c>
      <c r="D5" s="27">
        <v>392.5</v>
      </c>
      <c r="E5" s="28">
        <v>1077.5</v>
      </c>
      <c r="F5" s="28">
        <v>1150.0999999999999</v>
      </c>
      <c r="G5" s="29">
        <v>2.0508000000000002</v>
      </c>
    </row>
    <row r="6" spans="1:7" x14ac:dyDescent="0.2">
      <c r="A6" s="64" t="s">
        <v>80</v>
      </c>
      <c r="B6" s="20">
        <v>1</v>
      </c>
      <c r="C6" s="26">
        <v>250</v>
      </c>
      <c r="D6" s="27">
        <v>422.4</v>
      </c>
      <c r="E6" s="28">
        <v>1094.7</v>
      </c>
      <c r="F6" s="28">
        <v>1172.8</v>
      </c>
      <c r="G6" s="29">
        <v>2.0838999999999999</v>
      </c>
    </row>
    <row r="7" spans="1:7" x14ac:dyDescent="0.2">
      <c r="A7" s="64" t="s">
        <v>80</v>
      </c>
      <c r="B7" s="20">
        <v>1</v>
      </c>
      <c r="C7" s="26">
        <v>300</v>
      </c>
      <c r="D7" s="27">
        <v>452.3</v>
      </c>
      <c r="E7" s="28">
        <v>1112</v>
      </c>
      <c r="F7" s="28">
        <v>1195.7</v>
      </c>
      <c r="G7" s="29">
        <v>2.1150000000000002</v>
      </c>
    </row>
    <row r="8" spans="1:7" x14ac:dyDescent="0.2">
      <c r="A8" s="64" t="s">
        <v>80</v>
      </c>
      <c r="B8" s="20">
        <v>1</v>
      </c>
      <c r="C8" s="26">
        <v>400</v>
      </c>
      <c r="D8" s="27">
        <v>511.9</v>
      </c>
      <c r="E8" s="28">
        <v>1147</v>
      </c>
      <c r="F8" s="28">
        <v>1241.8</v>
      </c>
      <c r="G8" s="29">
        <v>2.1720000000000002</v>
      </c>
    </row>
    <row r="9" spans="1:7" x14ac:dyDescent="0.2">
      <c r="A9" s="64" t="s">
        <v>80</v>
      </c>
      <c r="B9" s="20">
        <v>1</v>
      </c>
      <c r="C9" s="26">
        <v>500</v>
      </c>
      <c r="D9" s="27">
        <v>571.5</v>
      </c>
      <c r="E9" s="28">
        <v>1182.8</v>
      </c>
      <c r="F9" s="28">
        <v>1288.5</v>
      </c>
      <c r="G9" s="29">
        <v>2.2235</v>
      </c>
    </row>
    <row r="10" spans="1:7" x14ac:dyDescent="0.2">
      <c r="A10" s="64" t="s">
        <v>80</v>
      </c>
      <c r="B10" s="20">
        <v>1</v>
      </c>
      <c r="C10" s="26">
        <v>600</v>
      </c>
      <c r="D10" s="27">
        <v>631.1</v>
      </c>
      <c r="E10" s="28">
        <v>1219.3</v>
      </c>
      <c r="F10" s="28">
        <v>1336.1</v>
      </c>
      <c r="G10" s="29">
        <v>2.2706</v>
      </c>
    </row>
    <row r="11" spans="1:7" x14ac:dyDescent="0.2">
      <c r="A11" s="64" t="s">
        <v>80</v>
      </c>
      <c r="B11" s="20">
        <v>1</v>
      </c>
      <c r="C11" s="26">
        <v>700</v>
      </c>
      <c r="D11" s="27">
        <v>690.7</v>
      </c>
      <c r="E11" s="28">
        <v>1256.7</v>
      </c>
      <c r="F11" s="28">
        <v>1384.5</v>
      </c>
      <c r="G11" s="29">
        <v>2.3142</v>
      </c>
    </row>
    <row r="12" spans="1:7" x14ac:dyDescent="0.2">
      <c r="A12" s="64" t="s">
        <v>80</v>
      </c>
      <c r="B12" s="20">
        <v>1</v>
      </c>
      <c r="C12" s="26">
        <v>800</v>
      </c>
      <c r="D12" s="27">
        <v>750.3</v>
      </c>
      <c r="E12" s="28">
        <v>1294.4000000000001</v>
      </c>
      <c r="F12" s="28">
        <v>1433.7</v>
      </c>
      <c r="G12" s="29">
        <v>2.355</v>
      </c>
    </row>
    <row r="13" spans="1:7" x14ac:dyDescent="0.2">
      <c r="A13" s="64" t="s">
        <v>80</v>
      </c>
      <c r="B13" s="20">
        <v>1</v>
      </c>
      <c r="C13" s="26">
        <v>900</v>
      </c>
      <c r="D13" s="27">
        <v>809.9</v>
      </c>
      <c r="E13" s="28">
        <v>1333.9</v>
      </c>
      <c r="F13" s="28">
        <v>1483.8</v>
      </c>
      <c r="G13" s="29">
        <v>2.3932000000000002</v>
      </c>
    </row>
    <row r="14" spans="1:7" x14ac:dyDescent="0.2">
      <c r="A14" s="65" t="s">
        <v>80</v>
      </c>
      <c r="B14" s="21">
        <v>1</v>
      </c>
      <c r="C14" s="30">
        <v>1000</v>
      </c>
      <c r="D14" s="31">
        <v>869.5</v>
      </c>
      <c r="E14" s="32">
        <v>1373.9</v>
      </c>
      <c r="F14" s="32">
        <v>1534.8</v>
      </c>
      <c r="G14" s="33">
        <v>2.4293999999999998</v>
      </c>
    </row>
    <row r="15" spans="1:7" x14ac:dyDescent="0.2">
      <c r="A15" s="71">
        <v>5</v>
      </c>
      <c r="B15" s="17">
        <v>5</v>
      </c>
      <c r="C15" s="26">
        <v>162.19999999999999</v>
      </c>
      <c r="D15" s="26">
        <v>73.53</v>
      </c>
      <c r="E15" s="26">
        <v>1063</v>
      </c>
      <c r="F15" s="26">
        <v>1131</v>
      </c>
      <c r="G15" s="34">
        <v>1.8441000000000001</v>
      </c>
    </row>
    <row r="16" spans="1:7" x14ac:dyDescent="0.2">
      <c r="A16" s="71" t="s">
        <v>80</v>
      </c>
      <c r="B16" s="17">
        <v>5</v>
      </c>
      <c r="C16" s="26">
        <v>200</v>
      </c>
      <c r="D16" s="26">
        <v>78.150000000000006</v>
      </c>
      <c r="E16" s="26">
        <v>1076</v>
      </c>
      <c r="F16" s="26">
        <v>1148.5999999999999</v>
      </c>
      <c r="G16" s="34">
        <v>1.8714999999999999</v>
      </c>
    </row>
    <row r="17" spans="1:7" x14ac:dyDescent="0.2">
      <c r="A17" s="71" t="s">
        <v>80</v>
      </c>
      <c r="B17" s="17">
        <v>5</v>
      </c>
      <c r="C17" s="26">
        <v>250</v>
      </c>
      <c r="D17" s="26">
        <v>84.21</v>
      </c>
      <c r="E17" s="26">
        <v>1093.8</v>
      </c>
      <c r="F17" s="26">
        <v>1171.7</v>
      </c>
      <c r="G17" s="34">
        <v>1.9052</v>
      </c>
    </row>
    <row r="18" spans="1:7" x14ac:dyDescent="0.2">
      <c r="A18" s="71" t="s">
        <v>80</v>
      </c>
      <c r="B18" s="17">
        <v>5</v>
      </c>
      <c r="C18" s="26">
        <v>300</v>
      </c>
      <c r="D18" s="26">
        <v>90.24</v>
      </c>
      <c r="E18" s="26">
        <v>1111.3</v>
      </c>
      <c r="F18" s="26">
        <v>1194.8</v>
      </c>
      <c r="G18" s="34">
        <v>1.9367000000000001</v>
      </c>
    </row>
    <row r="19" spans="1:7" x14ac:dyDescent="0.2">
      <c r="A19" s="71" t="s">
        <v>80</v>
      </c>
      <c r="B19" s="17">
        <v>5</v>
      </c>
      <c r="C19" s="26">
        <v>400</v>
      </c>
      <c r="D19" s="26">
        <v>102.24</v>
      </c>
      <c r="E19" s="26">
        <v>1146.5999999999999</v>
      </c>
      <c r="F19" s="26">
        <v>1241.2</v>
      </c>
      <c r="G19" s="34">
        <v>1.9941</v>
      </c>
    </row>
    <row r="20" spans="1:7" x14ac:dyDescent="0.2">
      <c r="A20" s="71" t="s">
        <v>80</v>
      </c>
      <c r="B20" s="17">
        <v>5</v>
      </c>
      <c r="C20" s="26">
        <v>500</v>
      </c>
      <c r="D20" s="26">
        <v>114.2</v>
      </c>
      <c r="E20" s="26">
        <v>1182.5</v>
      </c>
      <c r="F20" s="26">
        <v>1288.2</v>
      </c>
      <c r="G20" s="34">
        <v>2.0457999999999998</v>
      </c>
    </row>
    <row r="21" spans="1:7" x14ac:dyDescent="0.2">
      <c r="A21" s="71" t="s">
        <v>80</v>
      </c>
      <c r="B21" s="17">
        <v>5</v>
      </c>
      <c r="C21" s="26">
        <v>600</v>
      </c>
      <c r="D21" s="26">
        <v>126.15</v>
      </c>
      <c r="E21" s="26">
        <v>1219.0999999999999</v>
      </c>
      <c r="F21" s="26">
        <v>1335.8</v>
      </c>
      <c r="G21" s="34">
        <v>2.093</v>
      </c>
    </row>
    <row r="22" spans="1:7" x14ac:dyDescent="0.2">
      <c r="A22" s="71" t="s">
        <v>80</v>
      </c>
      <c r="B22" s="17">
        <v>5</v>
      </c>
      <c r="C22" s="26">
        <v>700</v>
      </c>
      <c r="D22" s="26">
        <v>138.08000000000001</v>
      </c>
      <c r="E22" s="26">
        <v>1256.5</v>
      </c>
      <c r="F22" s="26">
        <v>1384.3</v>
      </c>
      <c r="G22" s="34">
        <v>2.1366999999999998</v>
      </c>
    </row>
    <row r="23" spans="1:7" x14ac:dyDescent="0.2">
      <c r="A23" s="71" t="s">
        <v>80</v>
      </c>
      <c r="B23" s="17">
        <v>5</v>
      </c>
      <c r="C23" s="26">
        <v>800</v>
      </c>
      <c r="D23" s="26">
        <v>150.01</v>
      </c>
      <c r="E23" s="26">
        <v>1294.7</v>
      </c>
      <c r="F23" s="26">
        <v>1433.5</v>
      </c>
      <c r="G23" s="34">
        <v>2.1775000000000002</v>
      </c>
    </row>
    <row r="24" spans="1:7" x14ac:dyDescent="0.2">
      <c r="A24" s="71" t="s">
        <v>80</v>
      </c>
      <c r="B24" s="17">
        <v>5</v>
      </c>
      <c r="C24" s="26">
        <v>900</v>
      </c>
      <c r="D24" s="26">
        <v>161.94</v>
      </c>
      <c r="E24" s="26">
        <v>1333.8</v>
      </c>
      <c r="F24" s="26">
        <v>1483.7</v>
      </c>
      <c r="G24" s="34">
        <v>2.2158000000000002</v>
      </c>
    </row>
    <row r="25" spans="1:7" x14ac:dyDescent="0.2">
      <c r="A25" s="71" t="s">
        <v>80</v>
      </c>
      <c r="B25" s="17">
        <v>5</v>
      </c>
      <c r="C25" s="26">
        <v>1000</v>
      </c>
      <c r="D25" s="26">
        <v>173.86</v>
      </c>
      <c r="E25" s="26">
        <v>1373.9</v>
      </c>
      <c r="F25" s="26">
        <v>1534.7</v>
      </c>
      <c r="G25" s="34">
        <v>2.2519999999999998</v>
      </c>
    </row>
    <row r="26" spans="1:7" x14ac:dyDescent="0.2">
      <c r="A26" s="63">
        <v>10</v>
      </c>
      <c r="B26" s="19">
        <v>10</v>
      </c>
      <c r="C26" s="22">
        <v>193.2</v>
      </c>
      <c r="D26" s="23">
        <v>38.42</v>
      </c>
      <c r="E26" s="24">
        <v>1072.2</v>
      </c>
      <c r="F26" s="24">
        <v>1143.3</v>
      </c>
      <c r="G26" s="25">
        <v>1.7877000000000001</v>
      </c>
    </row>
    <row r="27" spans="1:7" x14ac:dyDescent="0.2">
      <c r="A27" s="64" t="s">
        <v>80</v>
      </c>
      <c r="B27" s="20">
        <v>10</v>
      </c>
      <c r="C27" s="26">
        <v>200</v>
      </c>
      <c r="D27" s="27">
        <v>38.85</v>
      </c>
      <c r="E27" s="28">
        <v>1074.7</v>
      </c>
      <c r="F27" s="28">
        <v>1146.5999999999999</v>
      </c>
      <c r="G27" s="29">
        <v>1.7927</v>
      </c>
    </row>
    <row r="28" spans="1:7" x14ac:dyDescent="0.2">
      <c r="A28" s="64" t="s">
        <v>80</v>
      </c>
      <c r="B28" s="20">
        <v>10</v>
      </c>
      <c r="C28" s="26">
        <v>250</v>
      </c>
      <c r="D28" s="27">
        <v>41.95</v>
      </c>
      <c r="E28" s="28">
        <v>1092.5999999999999</v>
      </c>
      <c r="F28" s="28">
        <v>1170.2</v>
      </c>
      <c r="G28" s="29">
        <v>1.8271999999999999</v>
      </c>
    </row>
    <row r="29" spans="1:7" x14ac:dyDescent="0.2">
      <c r="A29" s="64" t="s">
        <v>80</v>
      </c>
      <c r="B29" s="20">
        <v>10</v>
      </c>
      <c r="C29" s="26">
        <v>300</v>
      </c>
      <c r="D29" s="27">
        <v>44.99</v>
      </c>
      <c r="E29" s="28">
        <v>1110.4000000000001</v>
      </c>
      <c r="F29" s="28">
        <v>1193.7</v>
      </c>
      <c r="G29" s="29">
        <v>1.8592</v>
      </c>
    </row>
    <row r="30" spans="1:7" x14ac:dyDescent="0.2">
      <c r="A30" s="64" t="s">
        <v>80</v>
      </c>
      <c r="B30" s="20">
        <v>10</v>
      </c>
      <c r="C30" s="26">
        <v>400</v>
      </c>
      <c r="D30" s="27">
        <v>51.03</v>
      </c>
      <c r="E30" s="28">
        <v>1146.0999999999999</v>
      </c>
      <c r="F30" s="28">
        <v>1240.5</v>
      </c>
      <c r="G30" s="29">
        <v>1.9171</v>
      </c>
    </row>
    <row r="31" spans="1:7" x14ac:dyDescent="0.2">
      <c r="A31" s="64" t="s">
        <v>80</v>
      </c>
      <c r="B31" s="20">
        <v>10</v>
      </c>
      <c r="C31" s="26">
        <v>500</v>
      </c>
      <c r="D31" s="27">
        <v>57.04</v>
      </c>
      <c r="E31" s="28">
        <v>1182.2</v>
      </c>
      <c r="F31" s="28">
        <v>1287.7</v>
      </c>
      <c r="G31" s="29">
        <v>1.9690000000000001</v>
      </c>
    </row>
    <row r="32" spans="1:7" x14ac:dyDescent="0.2">
      <c r="A32" s="64" t="s">
        <v>80</v>
      </c>
      <c r="B32" s="20">
        <v>10</v>
      </c>
      <c r="C32" s="26">
        <v>600</v>
      </c>
      <c r="D32" s="27">
        <v>63.03</v>
      </c>
      <c r="E32" s="28">
        <v>1218.9000000000001</v>
      </c>
      <c r="F32" s="28">
        <v>1335.5</v>
      </c>
      <c r="G32" s="29">
        <v>2.0164</v>
      </c>
    </row>
    <row r="33" spans="1:7" x14ac:dyDescent="0.2">
      <c r="A33" s="64" t="s">
        <v>80</v>
      </c>
      <c r="B33" s="20">
        <v>10</v>
      </c>
      <c r="C33" s="26">
        <v>700</v>
      </c>
      <c r="D33" s="27">
        <v>69.010000000000005</v>
      </c>
      <c r="E33" s="28">
        <v>1256.3</v>
      </c>
      <c r="F33" s="28">
        <v>1384</v>
      </c>
      <c r="G33" s="29">
        <v>2.0600999999999998</v>
      </c>
    </row>
    <row r="34" spans="1:7" x14ac:dyDescent="0.2">
      <c r="A34" s="64" t="s">
        <v>80</v>
      </c>
      <c r="B34" s="20">
        <v>10</v>
      </c>
      <c r="C34" s="26">
        <v>800</v>
      </c>
      <c r="D34" s="27">
        <v>74.98</v>
      </c>
      <c r="E34" s="28">
        <v>1294.5999999999999</v>
      </c>
      <c r="F34" s="28">
        <v>1433.3</v>
      </c>
      <c r="G34" s="29">
        <v>2.1009000000000002</v>
      </c>
    </row>
    <row r="35" spans="1:7" x14ac:dyDescent="0.2">
      <c r="A35" s="64" t="s">
        <v>80</v>
      </c>
      <c r="B35" s="20">
        <v>10</v>
      </c>
      <c r="C35" s="26">
        <v>900</v>
      </c>
      <c r="D35" s="27">
        <v>80.95</v>
      </c>
      <c r="E35" s="28">
        <v>1333.7</v>
      </c>
      <c r="F35" s="28">
        <v>1483.5</v>
      </c>
      <c r="G35" s="29">
        <v>2.1393</v>
      </c>
    </row>
    <row r="36" spans="1:7" x14ac:dyDescent="0.2">
      <c r="A36" s="64" t="s">
        <v>80</v>
      </c>
      <c r="B36" s="20">
        <v>10</v>
      </c>
      <c r="C36" s="26">
        <v>1000</v>
      </c>
      <c r="D36" s="27">
        <v>86.91</v>
      </c>
      <c r="E36" s="28">
        <v>1373.8</v>
      </c>
      <c r="F36" s="28">
        <v>1534.6</v>
      </c>
      <c r="G36" s="29">
        <v>2.1755</v>
      </c>
    </row>
    <row r="37" spans="1:7" x14ac:dyDescent="0.2">
      <c r="A37" s="65" t="s">
        <v>80</v>
      </c>
      <c r="B37" s="21">
        <v>10</v>
      </c>
      <c r="C37" s="30">
        <v>1100</v>
      </c>
      <c r="D37" s="31">
        <v>92.88</v>
      </c>
      <c r="E37" s="32">
        <v>1414.7</v>
      </c>
      <c r="F37" s="32">
        <v>1586.6</v>
      </c>
      <c r="G37" s="33">
        <v>2.2099000000000002</v>
      </c>
    </row>
    <row r="38" spans="1:7" x14ac:dyDescent="0.2">
      <c r="A38" s="71">
        <v>14.7</v>
      </c>
      <c r="B38" s="17">
        <v>14.7</v>
      </c>
      <c r="C38" s="26">
        <v>212</v>
      </c>
      <c r="D38" s="26">
        <v>26.8</v>
      </c>
      <c r="E38" s="26">
        <v>1077.5999999999999</v>
      </c>
      <c r="F38" s="26">
        <v>1150.5</v>
      </c>
      <c r="G38" s="34">
        <v>1.7566999999999999</v>
      </c>
    </row>
    <row r="39" spans="1:7" x14ac:dyDescent="0.2">
      <c r="A39" s="71" t="s">
        <v>80</v>
      </c>
      <c r="B39" s="17">
        <v>14.7</v>
      </c>
      <c r="C39" s="26">
        <v>250</v>
      </c>
      <c r="D39" s="26">
        <v>28.42</v>
      </c>
      <c r="E39" s="26">
        <v>1091.5</v>
      </c>
      <c r="F39" s="26">
        <v>1168.8</v>
      </c>
      <c r="G39" s="34">
        <v>1.7831999999999999</v>
      </c>
    </row>
    <row r="40" spans="1:7" x14ac:dyDescent="0.2">
      <c r="A40" s="71" t="s">
        <v>80</v>
      </c>
      <c r="B40" s="17">
        <v>14.7</v>
      </c>
      <c r="C40" s="26">
        <v>300</v>
      </c>
      <c r="D40" s="26">
        <v>30.52</v>
      </c>
      <c r="E40" s="26">
        <v>1109.5999999999999</v>
      </c>
      <c r="F40" s="26">
        <v>1192.5999999999999</v>
      </c>
      <c r="G40" s="34">
        <v>1.8157000000000001</v>
      </c>
    </row>
    <row r="41" spans="1:7" x14ac:dyDescent="0.2">
      <c r="A41" s="71" t="s">
        <v>80</v>
      </c>
      <c r="B41" s="17">
        <v>14.7</v>
      </c>
      <c r="C41" s="26">
        <v>400</v>
      </c>
      <c r="D41" s="26">
        <v>34.67</v>
      </c>
      <c r="E41" s="26">
        <v>1145.5999999999999</v>
      </c>
      <c r="F41" s="26">
        <v>1239.9000000000001</v>
      </c>
      <c r="G41" s="34">
        <v>1.8741000000000001</v>
      </c>
    </row>
    <row r="42" spans="1:7" x14ac:dyDescent="0.2">
      <c r="A42" s="71" t="s">
        <v>80</v>
      </c>
      <c r="B42" s="17">
        <v>14.7</v>
      </c>
      <c r="C42" s="26">
        <v>500</v>
      </c>
      <c r="D42" s="26">
        <v>38.770000000000003</v>
      </c>
      <c r="E42" s="26">
        <v>1181.8</v>
      </c>
      <c r="F42" s="26">
        <v>1287.3</v>
      </c>
      <c r="G42" s="34">
        <v>1.9262999999999999</v>
      </c>
    </row>
    <row r="43" spans="1:7" x14ac:dyDescent="0.2">
      <c r="A43" s="71" t="s">
        <v>80</v>
      </c>
      <c r="B43" s="17">
        <v>14.7</v>
      </c>
      <c r="C43" s="26">
        <v>600</v>
      </c>
      <c r="D43" s="26">
        <v>42.86</v>
      </c>
      <c r="E43" s="26">
        <v>1218.5999999999999</v>
      </c>
      <c r="F43" s="26">
        <v>1335.2</v>
      </c>
      <c r="G43" s="34">
        <v>1.9737</v>
      </c>
    </row>
    <row r="44" spans="1:7" x14ac:dyDescent="0.2">
      <c r="A44" s="71" t="s">
        <v>80</v>
      </c>
      <c r="B44" s="17">
        <v>14.7</v>
      </c>
      <c r="C44" s="26">
        <v>700</v>
      </c>
      <c r="D44" s="26">
        <v>46.93</v>
      </c>
      <c r="E44" s="26">
        <v>1256.0999999999999</v>
      </c>
      <c r="F44" s="26">
        <v>1383.8</v>
      </c>
      <c r="G44" s="34">
        <v>2.0175000000000001</v>
      </c>
    </row>
    <row r="45" spans="1:7" x14ac:dyDescent="0.2">
      <c r="A45" s="71" t="s">
        <v>80</v>
      </c>
      <c r="B45" s="17">
        <v>14.7</v>
      </c>
      <c r="C45" s="26">
        <v>800</v>
      </c>
      <c r="D45" s="26">
        <v>51</v>
      </c>
      <c r="E45" s="26">
        <v>1294.4000000000001</v>
      </c>
      <c r="F45" s="26">
        <v>1433.1</v>
      </c>
      <c r="G45" s="34">
        <v>2.0583999999999998</v>
      </c>
    </row>
    <row r="46" spans="1:7" x14ac:dyDescent="0.2">
      <c r="A46" s="71" t="s">
        <v>80</v>
      </c>
      <c r="B46" s="17">
        <v>14.7</v>
      </c>
      <c r="C46" s="26">
        <v>900</v>
      </c>
      <c r="D46" s="26">
        <v>55.07</v>
      </c>
      <c r="E46" s="26">
        <v>1333.6</v>
      </c>
      <c r="F46" s="26">
        <v>1483.4</v>
      </c>
      <c r="G46" s="34">
        <v>2.0966999999999998</v>
      </c>
    </row>
    <row r="47" spans="1:7" x14ac:dyDescent="0.2">
      <c r="A47" s="71" t="s">
        <v>80</v>
      </c>
      <c r="B47" s="17">
        <v>14.7</v>
      </c>
      <c r="C47" s="26">
        <v>1000</v>
      </c>
      <c r="D47" s="26">
        <v>59.13</v>
      </c>
      <c r="E47" s="26">
        <v>1373.7</v>
      </c>
      <c r="F47" s="26">
        <v>1534.5</v>
      </c>
      <c r="G47" s="34">
        <v>2.133</v>
      </c>
    </row>
    <row r="48" spans="1:7" x14ac:dyDescent="0.2">
      <c r="A48" s="71" t="s">
        <v>80</v>
      </c>
      <c r="B48" s="17">
        <v>14.7</v>
      </c>
      <c r="C48" s="26">
        <v>1100</v>
      </c>
      <c r="D48" s="26">
        <v>63.19</v>
      </c>
      <c r="E48" s="26">
        <v>1414.6</v>
      </c>
      <c r="F48" s="26">
        <v>1586.4</v>
      </c>
      <c r="G48" s="34">
        <v>2.1674000000000002</v>
      </c>
    </row>
    <row r="49" spans="1:7" x14ac:dyDescent="0.2">
      <c r="A49" s="63">
        <v>20</v>
      </c>
      <c r="B49" s="19">
        <v>20</v>
      </c>
      <c r="C49" s="22">
        <v>228</v>
      </c>
      <c r="D49" s="23">
        <v>20.09</v>
      </c>
      <c r="E49" s="24">
        <v>1082</v>
      </c>
      <c r="F49" s="24">
        <v>1156.4000000000001</v>
      </c>
      <c r="G49" s="25">
        <v>1.732</v>
      </c>
    </row>
    <row r="50" spans="1:7" x14ac:dyDescent="0.2">
      <c r="A50" s="64" t="s">
        <v>80</v>
      </c>
      <c r="B50" s="20">
        <v>20</v>
      </c>
      <c r="C50" s="26">
        <v>250</v>
      </c>
      <c r="D50" s="27">
        <v>20.79</v>
      </c>
      <c r="E50" s="28">
        <v>1090.3</v>
      </c>
      <c r="F50" s="28">
        <v>1167.2</v>
      </c>
      <c r="G50" s="29">
        <v>1.7475000000000001</v>
      </c>
    </row>
    <row r="51" spans="1:7" x14ac:dyDescent="0.2">
      <c r="A51" s="64" t="s">
        <v>80</v>
      </c>
      <c r="B51" s="20">
        <v>20</v>
      </c>
      <c r="C51" s="26">
        <v>300</v>
      </c>
      <c r="D51" s="27">
        <v>22.36</v>
      </c>
      <c r="E51" s="28">
        <v>1108.7</v>
      </c>
      <c r="F51" s="28">
        <v>1191.5</v>
      </c>
      <c r="G51" s="29">
        <v>1.7805</v>
      </c>
    </row>
    <row r="52" spans="1:7" x14ac:dyDescent="0.2">
      <c r="A52" s="64" t="s">
        <v>80</v>
      </c>
      <c r="B52" s="20">
        <v>20</v>
      </c>
      <c r="C52" s="26">
        <v>350</v>
      </c>
      <c r="D52" s="27">
        <v>23.9</v>
      </c>
      <c r="E52" s="28">
        <v>1126.9000000000001</v>
      </c>
      <c r="F52" s="28">
        <v>1215.4000000000001</v>
      </c>
      <c r="G52" s="29">
        <v>1.8109999999999999</v>
      </c>
    </row>
    <row r="53" spans="1:7" x14ac:dyDescent="0.2">
      <c r="A53" s="64" t="s">
        <v>80</v>
      </c>
      <c r="B53" s="20">
        <v>20</v>
      </c>
      <c r="C53" s="26">
        <v>400</v>
      </c>
      <c r="D53" s="27">
        <v>25.43</v>
      </c>
      <c r="E53" s="28">
        <v>1145.0999999999999</v>
      </c>
      <c r="F53" s="28">
        <v>1239.2</v>
      </c>
      <c r="G53" s="29">
        <v>1.8394999999999999</v>
      </c>
    </row>
    <row r="54" spans="1:7" x14ac:dyDescent="0.2">
      <c r="A54" s="64" t="s">
        <v>80</v>
      </c>
      <c r="B54" s="20">
        <v>20</v>
      </c>
      <c r="C54" s="26">
        <v>500</v>
      </c>
      <c r="D54" s="27">
        <v>28.46</v>
      </c>
      <c r="E54" s="28">
        <v>1181.5</v>
      </c>
      <c r="F54" s="28">
        <v>1286.8</v>
      </c>
      <c r="G54" s="29">
        <v>1.8918999999999999</v>
      </c>
    </row>
    <row r="55" spans="1:7" x14ac:dyDescent="0.2">
      <c r="A55" s="64" t="s">
        <v>80</v>
      </c>
      <c r="B55" s="20">
        <v>20</v>
      </c>
      <c r="C55" s="26">
        <v>600</v>
      </c>
      <c r="D55" s="27">
        <v>31.47</v>
      </c>
      <c r="E55" s="28">
        <v>1218.4000000000001</v>
      </c>
      <c r="F55" s="28">
        <v>1334.8</v>
      </c>
      <c r="G55" s="29">
        <v>1.9395</v>
      </c>
    </row>
    <row r="56" spans="1:7" x14ac:dyDescent="0.2">
      <c r="A56" s="64" t="s">
        <v>80</v>
      </c>
      <c r="B56" s="20">
        <v>20</v>
      </c>
      <c r="C56" s="26">
        <v>700</v>
      </c>
      <c r="D56" s="27">
        <v>34.47</v>
      </c>
      <c r="E56" s="28">
        <v>1255.9000000000001</v>
      </c>
      <c r="F56" s="28">
        <v>1383.5</v>
      </c>
      <c r="G56" s="29">
        <v>1.9834000000000001</v>
      </c>
    </row>
    <row r="57" spans="1:7" x14ac:dyDescent="0.2">
      <c r="A57" s="64" t="s">
        <v>80</v>
      </c>
      <c r="B57" s="20">
        <v>20</v>
      </c>
      <c r="C57" s="26">
        <v>800</v>
      </c>
      <c r="D57" s="27">
        <v>37.46</v>
      </c>
      <c r="E57" s="28">
        <v>1294.3</v>
      </c>
      <c r="F57" s="28">
        <v>1432.9</v>
      </c>
      <c r="G57" s="29">
        <v>2.0243000000000002</v>
      </c>
    </row>
    <row r="58" spans="1:7" x14ac:dyDescent="0.2">
      <c r="A58" s="64" t="s">
        <v>80</v>
      </c>
      <c r="B58" s="20">
        <v>20</v>
      </c>
      <c r="C58" s="26">
        <v>900</v>
      </c>
      <c r="D58" s="27">
        <v>40.450000000000003</v>
      </c>
      <c r="E58" s="28">
        <v>1333.5</v>
      </c>
      <c r="F58" s="28">
        <v>1483.2</v>
      </c>
      <c r="G58" s="29">
        <v>2.0627</v>
      </c>
    </row>
    <row r="59" spans="1:7" x14ac:dyDescent="0.2">
      <c r="A59" s="64" t="s">
        <v>80</v>
      </c>
      <c r="B59" s="20">
        <v>20</v>
      </c>
      <c r="C59" s="26">
        <v>1000</v>
      </c>
      <c r="D59" s="27">
        <v>43.44</v>
      </c>
      <c r="E59" s="28">
        <v>1373.5</v>
      </c>
      <c r="F59" s="28">
        <v>1534.3</v>
      </c>
      <c r="G59" s="29">
        <v>2.0989</v>
      </c>
    </row>
    <row r="60" spans="1:7" x14ac:dyDescent="0.2">
      <c r="A60" s="65" t="s">
        <v>80</v>
      </c>
      <c r="B60" s="21">
        <v>20</v>
      </c>
      <c r="C60" s="30">
        <v>1100</v>
      </c>
      <c r="D60" s="31">
        <v>46.42</v>
      </c>
      <c r="E60" s="32">
        <v>1414.5</v>
      </c>
      <c r="F60" s="32">
        <v>1586.3</v>
      </c>
      <c r="G60" s="33">
        <v>2.1334</v>
      </c>
    </row>
    <row r="61" spans="1:7" x14ac:dyDescent="0.2">
      <c r="A61" s="71">
        <v>40</v>
      </c>
      <c r="B61" s="17">
        <v>40</v>
      </c>
      <c r="C61" s="26">
        <v>267.3</v>
      </c>
      <c r="D61" s="26">
        <v>10.5</v>
      </c>
      <c r="E61" s="26">
        <v>1093.3</v>
      </c>
      <c r="F61" s="26">
        <v>1170</v>
      </c>
      <c r="G61" s="34">
        <v>1.6767000000000001</v>
      </c>
    </row>
    <row r="62" spans="1:7" x14ac:dyDescent="0.2">
      <c r="A62" s="71" t="s">
        <v>80</v>
      </c>
      <c r="B62" s="17">
        <v>40</v>
      </c>
      <c r="C62" s="26">
        <v>300</v>
      </c>
      <c r="D62" s="26">
        <v>11.04</v>
      </c>
      <c r="E62" s="26">
        <v>1105.0999999999999</v>
      </c>
      <c r="F62" s="26">
        <v>1186.8</v>
      </c>
      <c r="G62" s="34">
        <v>1.6993</v>
      </c>
    </row>
    <row r="63" spans="1:7" x14ac:dyDescent="0.2">
      <c r="A63" s="71" t="s">
        <v>80</v>
      </c>
      <c r="B63" s="17">
        <v>40</v>
      </c>
      <c r="C63" s="26">
        <v>350</v>
      </c>
      <c r="D63" s="26">
        <v>11.84</v>
      </c>
      <c r="E63" s="26">
        <v>1124.2</v>
      </c>
      <c r="F63" s="26">
        <v>1211.8</v>
      </c>
      <c r="G63" s="34">
        <v>1.7312000000000001</v>
      </c>
    </row>
    <row r="64" spans="1:7" x14ac:dyDescent="0.2">
      <c r="A64" s="71" t="s">
        <v>80</v>
      </c>
      <c r="B64" s="17">
        <v>40</v>
      </c>
      <c r="C64" s="26">
        <v>400</v>
      </c>
      <c r="D64" s="26">
        <v>12.62</v>
      </c>
      <c r="E64" s="26">
        <v>1143</v>
      </c>
      <c r="F64" s="26">
        <v>1236.4000000000001</v>
      </c>
      <c r="G64" s="34">
        <v>1.7605999999999999</v>
      </c>
    </row>
    <row r="65" spans="1:7" x14ac:dyDescent="0.2">
      <c r="A65" s="71" t="s">
        <v>80</v>
      </c>
      <c r="B65" s="17">
        <v>40</v>
      </c>
      <c r="C65" s="26">
        <v>500</v>
      </c>
      <c r="D65" s="26">
        <v>14.16</v>
      </c>
      <c r="E65" s="26">
        <v>1180.0999999999999</v>
      </c>
      <c r="F65" s="26">
        <v>1284.9000000000001</v>
      </c>
      <c r="G65" s="34">
        <v>1.8140000000000001</v>
      </c>
    </row>
    <row r="66" spans="1:7" x14ac:dyDescent="0.2">
      <c r="A66" s="71" t="s">
        <v>80</v>
      </c>
      <c r="B66" s="17">
        <v>40</v>
      </c>
      <c r="C66" s="26">
        <v>600</v>
      </c>
      <c r="D66" s="26">
        <v>15.69</v>
      </c>
      <c r="E66" s="26">
        <v>1217.3</v>
      </c>
      <c r="F66" s="26">
        <v>1333.4</v>
      </c>
      <c r="G66" s="34">
        <v>1.8621000000000001</v>
      </c>
    </row>
    <row r="67" spans="1:7" x14ac:dyDescent="0.2">
      <c r="A67" s="71" t="s">
        <v>80</v>
      </c>
      <c r="B67" s="17">
        <v>40</v>
      </c>
      <c r="C67" s="26">
        <v>700</v>
      </c>
      <c r="D67" s="26">
        <v>17.2</v>
      </c>
      <c r="E67" s="26">
        <v>1255.0999999999999</v>
      </c>
      <c r="F67" s="26">
        <v>1382.4</v>
      </c>
      <c r="G67" s="34">
        <v>1.9063000000000001</v>
      </c>
    </row>
    <row r="68" spans="1:7" x14ac:dyDescent="0.2">
      <c r="A68" s="71" t="s">
        <v>80</v>
      </c>
      <c r="B68" s="17">
        <v>40</v>
      </c>
      <c r="C68" s="26">
        <v>800</v>
      </c>
      <c r="D68" s="26">
        <v>18.7</v>
      </c>
      <c r="E68" s="26">
        <v>1293.7</v>
      </c>
      <c r="F68" s="26">
        <v>1432.1</v>
      </c>
      <c r="G68" s="34">
        <v>1.9474</v>
      </c>
    </row>
    <row r="69" spans="1:7" x14ac:dyDescent="0.2">
      <c r="A69" s="71" t="s">
        <v>80</v>
      </c>
      <c r="B69" s="17">
        <v>40</v>
      </c>
      <c r="C69" s="26">
        <v>900</v>
      </c>
      <c r="D69" s="26">
        <v>20.2</v>
      </c>
      <c r="E69" s="26">
        <v>1333</v>
      </c>
      <c r="F69" s="26">
        <v>1482.5</v>
      </c>
      <c r="G69" s="34">
        <v>1.9859</v>
      </c>
    </row>
    <row r="70" spans="1:7" x14ac:dyDescent="0.2">
      <c r="A70" s="71" t="s">
        <v>80</v>
      </c>
      <c r="B70" s="17">
        <v>40</v>
      </c>
      <c r="C70" s="26">
        <v>1000</v>
      </c>
      <c r="D70" s="26">
        <v>21.7</v>
      </c>
      <c r="E70" s="26">
        <v>1373.1</v>
      </c>
      <c r="F70" s="26">
        <v>1533.8</v>
      </c>
      <c r="G70" s="34">
        <v>2.0223</v>
      </c>
    </row>
    <row r="71" spans="1:7" x14ac:dyDescent="0.2">
      <c r="A71" s="71" t="s">
        <v>80</v>
      </c>
      <c r="B71" s="17">
        <v>40</v>
      </c>
      <c r="C71" s="26">
        <v>1100</v>
      </c>
      <c r="D71" s="26">
        <v>23.2</v>
      </c>
      <c r="E71" s="26">
        <v>1414.2</v>
      </c>
      <c r="F71" s="26">
        <v>1585.9</v>
      </c>
      <c r="G71" s="34">
        <v>2.0568</v>
      </c>
    </row>
    <row r="72" spans="1:7" x14ac:dyDescent="0.2">
      <c r="A72" s="63">
        <v>60</v>
      </c>
      <c r="B72" s="19">
        <v>60</v>
      </c>
      <c r="C72" s="22">
        <v>292.7</v>
      </c>
      <c r="D72" s="23">
        <v>7.17</v>
      </c>
      <c r="E72" s="24">
        <v>1098.3</v>
      </c>
      <c r="F72" s="24">
        <v>1178</v>
      </c>
      <c r="G72" s="25">
        <v>1.6444000000000001</v>
      </c>
    </row>
    <row r="73" spans="1:7" x14ac:dyDescent="0.2">
      <c r="A73" s="64" t="s">
        <v>80</v>
      </c>
      <c r="B73" s="20">
        <v>60</v>
      </c>
      <c r="C73" s="26">
        <v>300</v>
      </c>
      <c r="D73" s="27">
        <v>7.26</v>
      </c>
      <c r="E73" s="28">
        <v>1101.3</v>
      </c>
      <c r="F73" s="28">
        <v>1181.9000000000001</v>
      </c>
      <c r="G73" s="29">
        <v>1.6496</v>
      </c>
    </row>
    <row r="74" spans="1:7" x14ac:dyDescent="0.2">
      <c r="A74" s="64" t="s">
        <v>80</v>
      </c>
      <c r="B74" s="20">
        <v>60</v>
      </c>
      <c r="C74" s="26">
        <v>350</v>
      </c>
      <c r="D74" s="27">
        <v>7.82</v>
      </c>
      <c r="E74" s="28">
        <v>1121.4000000000001</v>
      </c>
      <c r="F74" s="28">
        <v>1208.2</v>
      </c>
      <c r="G74" s="29">
        <v>1.6830000000000001</v>
      </c>
    </row>
    <row r="75" spans="1:7" x14ac:dyDescent="0.2">
      <c r="A75" s="64" t="s">
        <v>80</v>
      </c>
      <c r="B75" s="20">
        <v>60</v>
      </c>
      <c r="C75" s="26">
        <v>400</v>
      </c>
      <c r="D75" s="27">
        <v>8.35</v>
      </c>
      <c r="E75" s="28">
        <v>1140.8</v>
      </c>
      <c r="F75" s="28">
        <v>1233.5</v>
      </c>
      <c r="G75" s="29">
        <v>1.7134</v>
      </c>
    </row>
    <row r="76" spans="1:7" x14ac:dyDescent="0.2">
      <c r="A76" s="64" t="s">
        <v>80</v>
      </c>
      <c r="B76" s="20">
        <v>60</v>
      </c>
      <c r="C76" s="26">
        <v>500</v>
      </c>
      <c r="D76" s="27">
        <v>9.4</v>
      </c>
      <c r="E76" s="28">
        <v>1178.5999999999999</v>
      </c>
      <c r="F76" s="28">
        <v>1283</v>
      </c>
      <c r="G76" s="29">
        <v>1.7678</v>
      </c>
    </row>
    <row r="77" spans="1:7" x14ac:dyDescent="0.2">
      <c r="A77" s="64" t="s">
        <v>80</v>
      </c>
      <c r="B77" s="20">
        <v>60</v>
      </c>
      <c r="C77" s="26">
        <v>600</v>
      </c>
      <c r="D77" s="27">
        <v>10.43</v>
      </c>
      <c r="E77" s="28">
        <v>1216.3</v>
      </c>
      <c r="F77" s="28">
        <v>1332.1</v>
      </c>
      <c r="G77" s="29">
        <v>1.8165</v>
      </c>
    </row>
    <row r="78" spans="1:7" x14ac:dyDescent="0.2">
      <c r="A78" s="64" t="s">
        <v>80</v>
      </c>
      <c r="B78" s="20">
        <v>60</v>
      </c>
      <c r="C78" s="26">
        <v>700</v>
      </c>
      <c r="D78" s="27">
        <v>11.44</v>
      </c>
      <c r="E78" s="28">
        <v>1254.4000000000001</v>
      </c>
      <c r="F78" s="28">
        <v>1381.4</v>
      </c>
      <c r="G78" s="29">
        <v>1.8609</v>
      </c>
    </row>
    <row r="79" spans="1:7" x14ac:dyDescent="0.2">
      <c r="A79" s="64" t="s">
        <v>80</v>
      </c>
      <c r="B79" s="20">
        <v>60</v>
      </c>
      <c r="C79" s="26">
        <v>800</v>
      </c>
      <c r="D79" s="27">
        <v>12.45</v>
      </c>
      <c r="E79" s="28">
        <v>1293</v>
      </c>
      <c r="F79" s="28">
        <v>1431.2</v>
      </c>
      <c r="G79" s="29">
        <v>1.9021999999999999</v>
      </c>
    </row>
    <row r="80" spans="1:7" x14ac:dyDescent="0.2">
      <c r="A80" s="64" t="s">
        <v>80</v>
      </c>
      <c r="B80" s="20">
        <v>60</v>
      </c>
      <c r="C80" s="26">
        <v>900</v>
      </c>
      <c r="D80" s="27">
        <v>13.45</v>
      </c>
      <c r="E80" s="28">
        <v>1332.5</v>
      </c>
      <c r="F80" s="28">
        <v>1481.8</v>
      </c>
      <c r="G80" s="29">
        <v>1.9408000000000001</v>
      </c>
    </row>
    <row r="81" spans="1:7" x14ac:dyDescent="0.2">
      <c r="A81" s="64" t="s">
        <v>80</v>
      </c>
      <c r="B81" s="20">
        <v>60</v>
      </c>
      <c r="C81" s="26">
        <v>1000</v>
      </c>
      <c r="D81" s="27">
        <v>14.45</v>
      </c>
      <c r="E81" s="28">
        <v>1372.7</v>
      </c>
      <c r="F81" s="28">
        <v>1533.2</v>
      </c>
      <c r="G81" s="29">
        <v>1.9773000000000001</v>
      </c>
    </row>
    <row r="82" spans="1:7" x14ac:dyDescent="0.2">
      <c r="A82" s="64" t="s">
        <v>80</v>
      </c>
      <c r="B82" s="20">
        <v>60</v>
      </c>
      <c r="C82" s="26">
        <v>1100</v>
      </c>
      <c r="D82" s="27">
        <v>15.45</v>
      </c>
      <c r="E82" s="28">
        <v>1413.8</v>
      </c>
      <c r="F82" s="28">
        <v>1585.4</v>
      </c>
      <c r="G82" s="29">
        <v>2.0118999999999998</v>
      </c>
    </row>
    <row r="83" spans="1:7" x14ac:dyDescent="0.2">
      <c r="A83" s="65" t="s">
        <v>80</v>
      </c>
      <c r="B83" s="21">
        <v>60</v>
      </c>
      <c r="C83" s="30">
        <v>1200</v>
      </c>
      <c r="D83" s="31">
        <v>16.45</v>
      </c>
      <c r="E83" s="32">
        <v>1455.8</v>
      </c>
      <c r="F83" s="32">
        <v>1638.5</v>
      </c>
      <c r="G83" s="33">
        <v>2.0448</v>
      </c>
    </row>
    <row r="84" spans="1:7" x14ac:dyDescent="0.2">
      <c r="A84" s="71">
        <v>80</v>
      </c>
      <c r="B84" s="17">
        <v>80</v>
      </c>
      <c r="C84" s="26">
        <v>312.10000000000002</v>
      </c>
      <c r="D84" s="26">
        <v>5.47</v>
      </c>
      <c r="E84" s="26">
        <v>1102.5999999999999</v>
      </c>
      <c r="F84" s="26">
        <v>1183.5999999999999</v>
      </c>
      <c r="G84" s="34">
        <v>1.6214</v>
      </c>
    </row>
    <row r="85" spans="1:7" x14ac:dyDescent="0.2">
      <c r="A85" s="71" t="s">
        <v>80</v>
      </c>
      <c r="B85" s="17">
        <v>80</v>
      </c>
      <c r="C85" s="26">
        <v>350</v>
      </c>
      <c r="D85" s="26">
        <v>5.8</v>
      </c>
      <c r="E85" s="26">
        <v>1118.5</v>
      </c>
      <c r="F85" s="26">
        <v>1204.3</v>
      </c>
      <c r="G85" s="34">
        <v>1.6476</v>
      </c>
    </row>
    <row r="86" spans="1:7" x14ac:dyDescent="0.2">
      <c r="A86" s="71" t="s">
        <v>80</v>
      </c>
      <c r="B86" s="17">
        <v>80</v>
      </c>
      <c r="C86" s="26">
        <v>400</v>
      </c>
      <c r="D86" s="26">
        <v>6.22</v>
      </c>
      <c r="E86" s="26">
        <v>1138.5</v>
      </c>
      <c r="F86" s="26">
        <v>1230.5999999999999</v>
      </c>
      <c r="G86" s="34">
        <v>1.679</v>
      </c>
    </row>
    <row r="87" spans="1:7" x14ac:dyDescent="0.2">
      <c r="A87" s="71" t="s">
        <v>80</v>
      </c>
      <c r="B87" s="17">
        <v>80</v>
      </c>
      <c r="C87" s="26">
        <v>500</v>
      </c>
      <c r="D87" s="26">
        <v>7.02</v>
      </c>
      <c r="E87" s="26">
        <v>1177.2</v>
      </c>
      <c r="F87" s="26">
        <v>1281.0999999999999</v>
      </c>
      <c r="G87" s="34">
        <v>1.7345999999999999</v>
      </c>
    </row>
    <row r="88" spans="1:7" x14ac:dyDescent="0.2">
      <c r="A88" s="71" t="s">
        <v>80</v>
      </c>
      <c r="B88" s="17">
        <v>80</v>
      </c>
      <c r="C88" s="26">
        <v>600</v>
      </c>
      <c r="D88" s="26">
        <v>7.79</v>
      </c>
      <c r="E88" s="26">
        <v>1215.3</v>
      </c>
      <c r="F88" s="26">
        <v>1330.7</v>
      </c>
      <c r="G88" s="34">
        <v>1.7838000000000001</v>
      </c>
    </row>
    <row r="89" spans="1:7" x14ac:dyDescent="0.2">
      <c r="A89" s="71" t="s">
        <v>80</v>
      </c>
      <c r="B89" s="17">
        <v>80</v>
      </c>
      <c r="C89" s="26">
        <v>700</v>
      </c>
      <c r="D89" s="26">
        <v>8.56</v>
      </c>
      <c r="E89" s="26">
        <v>1253.5999999999999</v>
      </c>
      <c r="F89" s="26">
        <v>1380.3</v>
      </c>
      <c r="G89" s="34">
        <v>1.8285</v>
      </c>
    </row>
    <row r="90" spans="1:7" x14ac:dyDescent="0.2">
      <c r="A90" s="71" t="s">
        <v>80</v>
      </c>
      <c r="B90" s="17">
        <v>80</v>
      </c>
      <c r="C90" s="26">
        <v>800</v>
      </c>
      <c r="D90" s="26">
        <v>9.32</v>
      </c>
      <c r="E90" s="26">
        <v>1292.4000000000001</v>
      </c>
      <c r="F90" s="26">
        <v>1430.4</v>
      </c>
      <c r="G90" s="34">
        <v>1.87</v>
      </c>
    </row>
    <row r="91" spans="1:7" x14ac:dyDescent="0.2">
      <c r="A91" s="71" t="s">
        <v>80</v>
      </c>
      <c r="B91" s="17">
        <v>80</v>
      </c>
      <c r="C91" s="26">
        <v>900</v>
      </c>
      <c r="D91" s="26">
        <v>10.08</v>
      </c>
      <c r="E91" s="26">
        <v>1332</v>
      </c>
      <c r="F91" s="26">
        <v>1481.2</v>
      </c>
      <c r="G91" s="34">
        <v>1.9087000000000001</v>
      </c>
    </row>
    <row r="92" spans="1:7" x14ac:dyDescent="0.2">
      <c r="A92" s="71" t="s">
        <v>80</v>
      </c>
      <c r="B92" s="17">
        <v>80</v>
      </c>
      <c r="C92" s="26">
        <v>1000</v>
      </c>
      <c r="D92" s="26">
        <v>10.83</v>
      </c>
      <c r="E92" s="26">
        <v>1372.3</v>
      </c>
      <c r="F92" s="26">
        <v>1532.6</v>
      </c>
      <c r="G92" s="34">
        <v>1.9453</v>
      </c>
    </row>
    <row r="93" spans="1:7" x14ac:dyDescent="0.2">
      <c r="A93" s="71" t="s">
        <v>80</v>
      </c>
      <c r="B93" s="17">
        <v>80</v>
      </c>
      <c r="C93" s="26">
        <v>1100</v>
      </c>
      <c r="D93" s="26">
        <v>11.58</v>
      </c>
      <c r="E93" s="26">
        <v>1413.5</v>
      </c>
      <c r="F93" s="26">
        <v>1584.9</v>
      </c>
      <c r="G93" s="34">
        <v>1.9799</v>
      </c>
    </row>
    <row r="94" spans="1:7" x14ac:dyDescent="0.2">
      <c r="A94" s="71" t="s">
        <v>80</v>
      </c>
      <c r="B94" s="17">
        <v>80</v>
      </c>
      <c r="C94" s="26">
        <v>1200</v>
      </c>
      <c r="D94" s="26">
        <v>12.33</v>
      </c>
      <c r="E94" s="26">
        <v>1455.5</v>
      </c>
      <c r="F94" s="26">
        <v>1638.1</v>
      </c>
      <c r="G94" s="34">
        <v>2.0129999999999999</v>
      </c>
    </row>
    <row r="95" spans="1:7" x14ac:dyDescent="0.2">
      <c r="A95" s="63">
        <v>100</v>
      </c>
      <c r="B95" s="19">
        <v>100</v>
      </c>
      <c r="C95" s="22">
        <v>327.8</v>
      </c>
      <c r="D95" s="23">
        <v>4.4340000000000002</v>
      </c>
      <c r="E95" s="24">
        <v>1105.8</v>
      </c>
      <c r="F95" s="24">
        <v>1187.8</v>
      </c>
      <c r="G95" s="25">
        <v>1.6033999999999999</v>
      </c>
    </row>
    <row r="96" spans="1:7" x14ac:dyDescent="0.2">
      <c r="A96" s="64" t="s">
        <v>80</v>
      </c>
      <c r="B96" s="20">
        <v>100</v>
      </c>
      <c r="C96" s="26">
        <v>350</v>
      </c>
      <c r="D96" s="27">
        <v>4.5919999999999996</v>
      </c>
      <c r="E96" s="28">
        <v>1115.4000000000001</v>
      </c>
      <c r="F96" s="28">
        <v>1200.4000000000001</v>
      </c>
      <c r="G96" s="29">
        <v>1.6191</v>
      </c>
    </row>
    <row r="97" spans="1:7" x14ac:dyDescent="0.2">
      <c r="A97" s="64" t="s">
        <v>80</v>
      </c>
      <c r="B97" s="20">
        <v>100</v>
      </c>
      <c r="C97" s="26">
        <v>400</v>
      </c>
      <c r="D97" s="27">
        <v>4.9340000000000002</v>
      </c>
      <c r="E97" s="28">
        <v>1136.2</v>
      </c>
      <c r="F97" s="28">
        <v>1227.5</v>
      </c>
      <c r="G97" s="29">
        <v>1.6516999999999999</v>
      </c>
    </row>
    <row r="98" spans="1:7" x14ac:dyDescent="0.2">
      <c r="A98" s="64" t="s">
        <v>80</v>
      </c>
      <c r="B98" s="20">
        <v>100</v>
      </c>
      <c r="C98" s="26">
        <v>450</v>
      </c>
      <c r="D98" s="27">
        <v>5.2649999999999997</v>
      </c>
      <c r="E98" s="28">
        <v>1156.2</v>
      </c>
      <c r="F98" s="28">
        <v>1253.5999999999999</v>
      </c>
      <c r="G98" s="29">
        <v>1.6812</v>
      </c>
    </row>
    <row r="99" spans="1:7" x14ac:dyDescent="0.2">
      <c r="A99" s="64" t="s">
        <v>80</v>
      </c>
      <c r="B99" s="20">
        <v>100</v>
      </c>
      <c r="C99" s="26">
        <v>500</v>
      </c>
      <c r="D99" s="27">
        <v>5.5869999999999997</v>
      </c>
      <c r="E99" s="28">
        <v>1175.7</v>
      </c>
      <c r="F99" s="28">
        <v>1279.0999999999999</v>
      </c>
      <c r="G99" s="29">
        <v>1.7084999999999999</v>
      </c>
    </row>
    <row r="100" spans="1:7" x14ac:dyDescent="0.2">
      <c r="A100" s="64" t="s">
        <v>80</v>
      </c>
      <c r="B100" s="20">
        <v>100</v>
      </c>
      <c r="C100" s="26">
        <v>600</v>
      </c>
      <c r="D100" s="27">
        <v>6.2160000000000002</v>
      </c>
      <c r="E100" s="28">
        <v>1214.2</v>
      </c>
      <c r="F100" s="28">
        <v>1329.3</v>
      </c>
      <c r="G100" s="29">
        <v>1.7582</v>
      </c>
    </row>
    <row r="101" spans="1:7" x14ac:dyDescent="0.2">
      <c r="A101" s="64" t="s">
        <v>80</v>
      </c>
      <c r="B101" s="20">
        <v>100</v>
      </c>
      <c r="C101" s="26">
        <v>700</v>
      </c>
      <c r="D101" s="27">
        <v>6.8339999999999996</v>
      </c>
      <c r="E101" s="28">
        <v>1252.8</v>
      </c>
      <c r="F101" s="28">
        <v>1379.2</v>
      </c>
      <c r="G101" s="29">
        <v>1.8032999999999999</v>
      </c>
    </row>
    <row r="102" spans="1:7" x14ac:dyDescent="0.2">
      <c r="A102" s="64" t="s">
        <v>80</v>
      </c>
      <c r="B102" s="20">
        <v>100</v>
      </c>
      <c r="C102" s="26">
        <v>800</v>
      </c>
      <c r="D102" s="27">
        <v>7.4450000000000003</v>
      </c>
      <c r="E102" s="28">
        <v>1291.8</v>
      </c>
      <c r="F102" s="28">
        <v>1429.6</v>
      </c>
      <c r="G102" s="29">
        <v>1.8449</v>
      </c>
    </row>
    <row r="103" spans="1:7" x14ac:dyDescent="0.2">
      <c r="A103" s="64" t="s">
        <v>80</v>
      </c>
      <c r="B103" s="20">
        <v>100</v>
      </c>
      <c r="C103" s="26">
        <v>900</v>
      </c>
      <c r="D103" s="27">
        <v>8.0530000000000008</v>
      </c>
      <c r="E103" s="28">
        <v>1331.5</v>
      </c>
      <c r="F103" s="28">
        <v>1480.5</v>
      </c>
      <c r="G103" s="29">
        <v>1.8837999999999999</v>
      </c>
    </row>
    <row r="104" spans="1:7" x14ac:dyDescent="0.2">
      <c r="A104" s="64" t="s">
        <v>80</v>
      </c>
      <c r="B104" s="20">
        <v>100</v>
      </c>
      <c r="C104" s="26">
        <v>1000</v>
      </c>
      <c r="D104" s="27">
        <v>8.657</v>
      </c>
      <c r="E104" s="28">
        <v>1371.9</v>
      </c>
      <c r="F104" s="28">
        <v>1532.1</v>
      </c>
      <c r="G104" s="29">
        <v>1.9204000000000001</v>
      </c>
    </row>
    <row r="105" spans="1:7" x14ac:dyDescent="0.2">
      <c r="A105" s="64" t="s">
        <v>80</v>
      </c>
      <c r="B105" s="20">
        <v>100</v>
      </c>
      <c r="C105" s="26">
        <v>1100</v>
      </c>
      <c r="D105" s="27">
        <v>9.26</v>
      </c>
      <c r="E105" s="28">
        <v>1413.1</v>
      </c>
      <c r="F105" s="28">
        <v>1584.5</v>
      </c>
      <c r="G105" s="29">
        <v>1.9551000000000001</v>
      </c>
    </row>
    <row r="106" spans="1:7" x14ac:dyDescent="0.2">
      <c r="A106" s="65" t="s">
        <v>80</v>
      </c>
      <c r="B106" s="21">
        <v>100</v>
      </c>
      <c r="C106" s="30">
        <v>1200</v>
      </c>
      <c r="D106" s="31">
        <v>9.8610000000000007</v>
      </c>
      <c r="E106" s="32">
        <v>1455.2</v>
      </c>
      <c r="F106" s="32">
        <v>1637.7</v>
      </c>
      <c r="G106" s="33">
        <v>1.9882</v>
      </c>
    </row>
    <row r="107" spans="1:7" x14ac:dyDescent="0.2">
      <c r="A107" s="71">
        <v>120</v>
      </c>
      <c r="B107" s="17">
        <v>120</v>
      </c>
      <c r="C107" s="26">
        <v>341.3</v>
      </c>
      <c r="D107" s="26">
        <v>3.73</v>
      </c>
      <c r="E107" s="26">
        <v>1108.3</v>
      </c>
      <c r="F107" s="26">
        <v>1191.0999999999999</v>
      </c>
      <c r="G107" s="34">
        <v>1.5886</v>
      </c>
    </row>
    <row r="108" spans="1:7" x14ac:dyDescent="0.2">
      <c r="A108" s="71" t="s">
        <v>80</v>
      </c>
      <c r="B108" s="17">
        <v>120</v>
      </c>
      <c r="C108" s="26">
        <v>350</v>
      </c>
      <c r="D108" s="26">
        <v>3.7829999999999999</v>
      </c>
      <c r="E108" s="26">
        <v>1112.2</v>
      </c>
      <c r="F108" s="26">
        <v>1196.2</v>
      </c>
      <c r="G108" s="34">
        <v>1.595</v>
      </c>
    </row>
    <row r="109" spans="1:7" x14ac:dyDescent="0.2">
      <c r="A109" s="71" t="s">
        <v>80</v>
      </c>
      <c r="B109" s="17">
        <v>120</v>
      </c>
      <c r="C109" s="26">
        <v>400</v>
      </c>
      <c r="D109" s="26">
        <v>4.0789999999999997</v>
      </c>
      <c r="E109" s="26">
        <v>1133.8</v>
      </c>
      <c r="F109" s="26">
        <v>1224.4000000000001</v>
      </c>
      <c r="G109" s="34">
        <v>1.6288</v>
      </c>
    </row>
    <row r="110" spans="1:7" x14ac:dyDescent="0.2">
      <c r="A110" s="71" t="s">
        <v>80</v>
      </c>
      <c r="B110" s="17">
        <v>120</v>
      </c>
      <c r="C110" s="26">
        <v>450</v>
      </c>
      <c r="D110" s="26">
        <v>4.3600000000000003</v>
      </c>
      <c r="E110" s="26">
        <v>1154.3</v>
      </c>
      <c r="F110" s="26">
        <v>1251.2</v>
      </c>
      <c r="G110" s="34">
        <v>1.659</v>
      </c>
    </row>
    <row r="111" spans="1:7" x14ac:dyDescent="0.2">
      <c r="A111" s="71" t="s">
        <v>80</v>
      </c>
      <c r="B111" s="17">
        <v>120</v>
      </c>
      <c r="C111" s="26">
        <v>500</v>
      </c>
      <c r="D111" s="26">
        <v>4.633</v>
      </c>
      <c r="E111" s="26">
        <v>1174.2</v>
      </c>
      <c r="F111" s="26">
        <v>1277.0999999999999</v>
      </c>
      <c r="G111" s="34">
        <v>1.6868000000000001</v>
      </c>
    </row>
    <row r="112" spans="1:7" x14ac:dyDescent="0.2">
      <c r="A112" s="71" t="s">
        <v>80</v>
      </c>
      <c r="B112" s="17">
        <v>120</v>
      </c>
      <c r="C112" s="26">
        <v>600</v>
      </c>
      <c r="D112" s="26">
        <v>5.1639999999999997</v>
      </c>
      <c r="E112" s="26">
        <v>1213.2</v>
      </c>
      <c r="F112" s="26">
        <v>1327.8</v>
      </c>
      <c r="G112" s="34">
        <v>1.7371000000000001</v>
      </c>
    </row>
    <row r="113" spans="1:7" x14ac:dyDescent="0.2">
      <c r="A113" s="71" t="s">
        <v>80</v>
      </c>
      <c r="B113" s="17">
        <v>120</v>
      </c>
      <c r="C113" s="26">
        <v>700</v>
      </c>
      <c r="D113" s="26">
        <v>5.6820000000000004</v>
      </c>
      <c r="E113" s="26">
        <v>1252</v>
      </c>
      <c r="F113" s="26">
        <v>1378.2</v>
      </c>
      <c r="G113" s="34">
        <v>1.7825</v>
      </c>
    </row>
    <row r="114" spans="1:7" x14ac:dyDescent="0.2">
      <c r="A114" s="71" t="s">
        <v>80</v>
      </c>
      <c r="B114" s="17">
        <v>120</v>
      </c>
      <c r="C114" s="26">
        <v>800</v>
      </c>
      <c r="D114" s="26">
        <v>6.1950000000000003</v>
      </c>
      <c r="E114" s="26">
        <v>1291.2</v>
      </c>
      <c r="F114" s="26">
        <v>1428.7</v>
      </c>
      <c r="G114" s="34">
        <v>1.8243</v>
      </c>
    </row>
    <row r="115" spans="1:7" x14ac:dyDescent="0.2">
      <c r="A115" s="71" t="s">
        <v>80</v>
      </c>
      <c r="B115" s="17">
        <v>120</v>
      </c>
      <c r="C115" s="26">
        <v>900</v>
      </c>
      <c r="D115" s="26">
        <v>6.7030000000000003</v>
      </c>
      <c r="E115" s="26">
        <v>1330.9</v>
      </c>
      <c r="F115" s="26">
        <v>1479.8</v>
      </c>
      <c r="G115" s="34">
        <v>1.8633</v>
      </c>
    </row>
    <row r="116" spans="1:7" x14ac:dyDescent="0.2">
      <c r="A116" s="71" t="s">
        <v>80</v>
      </c>
      <c r="B116" s="17">
        <v>120</v>
      </c>
      <c r="C116" s="26">
        <v>1000</v>
      </c>
      <c r="D116" s="26">
        <v>7.2080000000000002</v>
      </c>
      <c r="E116" s="26">
        <v>1371.5</v>
      </c>
      <c r="F116" s="26">
        <v>1531.5</v>
      </c>
      <c r="G116" s="34">
        <v>1.9</v>
      </c>
    </row>
    <row r="117" spans="1:7" x14ac:dyDescent="0.2">
      <c r="A117" s="71" t="s">
        <v>80</v>
      </c>
      <c r="B117" s="17">
        <v>120</v>
      </c>
      <c r="C117" s="26">
        <v>1100</v>
      </c>
      <c r="D117" s="26">
        <v>7.7110000000000003</v>
      </c>
      <c r="E117" s="26">
        <v>1412.8</v>
      </c>
      <c r="F117" s="26">
        <v>1584</v>
      </c>
      <c r="G117" s="34">
        <v>1.9348000000000001</v>
      </c>
    </row>
    <row r="118" spans="1:7" x14ac:dyDescent="0.2">
      <c r="A118" s="71" t="s">
        <v>80</v>
      </c>
      <c r="B118" s="17">
        <v>120</v>
      </c>
      <c r="C118" s="26">
        <v>1200</v>
      </c>
      <c r="D118" s="26">
        <v>8.2129999999999992</v>
      </c>
      <c r="E118" s="26">
        <v>1454.9</v>
      </c>
      <c r="F118" s="26">
        <v>1637.3</v>
      </c>
      <c r="G118" s="34">
        <v>1.9679</v>
      </c>
    </row>
    <row r="119" spans="1:7" x14ac:dyDescent="0.2">
      <c r="A119" s="63">
        <v>140</v>
      </c>
      <c r="B119" s="19">
        <v>140</v>
      </c>
      <c r="C119" s="22">
        <v>353.1</v>
      </c>
      <c r="D119" s="23">
        <v>3.2210000000000001</v>
      </c>
      <c r="E119" s="24">
        <v>1110.3</v>
      </c>
      <c r="F119" s="24">
        <v>1193.8</v>
      </c>
      <c r="G119" s="25">
        <v>1.5761000000000001</v>
      </c>
    </row>
    <row r="120" spans="1:7" x14ac:dyDescent="0.2">
      <c r="A120" s="64" t="s">
        <v>80</v>
      </c>
      <c r="B120" s="20">
        <v>140</v>
      </c>
      <c r="C120" s="26">
        <v>400</v>
      </c>
      <c r="D120" s="27">
        <v>3.4660000000000002</v>
      </c>
      <c r="E120" s="28">
        <v>1131.4000000000001</v>
      </c>
      <c r="F120" s="28">
        <v>1221.2</v>
      </c>
      <c r="G120" s="29">
        <v>1.6088</v>
      </c>
    </row>
    <row r="121" spans="1:7" x14ac:dyDescent="0.2">
      <c r="A121" s="64" t="s">
        <v>80</v>
      </c>
      <c r="B121" s="20">
        <v>140</v>
      </c>
      <c r="C121" s="26">
        <v>450</v>
      </c>
      <c r="D121" s="27">
        <v>3.7130000000000001</v>
      </c>
      <c r="E121" s="28">
        <v>1152.4000000000001</v>
      </c>
      <c r="F121" s="28">
        <v>1248.5999999999999</v>
      </c>
      <c r="G121" s="29">
        <v>1.6398999999999999</v>
      </c>
    </row>
    <row r="122" spans="1:7" x14ac:dyDescent="0.2">
      <c r="A122" s="64" t="s">
        <v>80</v>
      </c>
      <c r="B122" s="20">
        <v>140</v>
      </c>
      <c r="C122" s="26">
        <v>500</v>
      </c>
      <c r="D122" s="27">
        <v>3.952</v>
      </c>
      <c r="E122" s="28">
        <v>1172.7</v>
      </c>
      <c r="F122" s="28">
        <v>1275.0999999999999</v>
      </c>
      <c r="G122" s="29">
        <v>1.6681999999999999</v>
      </c>
    </row>
    <row r="123" spans="1:7" x14ac:dyDescent="0.2">
      <c r="A123" s="64" t="s">
        <v>80</v>
      </c>
      <c r="B123" s="20">
        <v>140</v>
      </c>
      <c r="C123" s="26">
        <v>550</v>
      </c>
      <c r="D123" s="27">
        <v>4.1840000000000002</v>
      </c>
      <c r="E123" s="28">
        <v>1192.5</v>
      </c>
      <c r="F123" s="28">
        <v>1300.9000000000001</v>
      </c>
      <c r="G123" s="29">
        <v>1.6944999999999999</v>
      </c>
    </row>
    <row r="124" spans="1:7" x14ac:dyDescent="0.2">
      <c r="A124" s="64" t="s">
        <v>80</v>
      </c>
      <c r="B124" s="20">
        <v>140</v>
      </c>
      <c r="C124" s="26">
        <v>600</v>
      </c>
      <c r="D124" s="27">
        <v>4.4119999999999999</v>
      </c>
      <c r="E124" s="28">
        <v>1212.0999999999999</v>
      </c>
      <c r="F124" s="28">
        <v>1326.4</v>
      </c>
      <c r="G124" s="29">
        <v>1.7191000000000001</v>
      </c>
    </row>
    <row r="125" spans="1:7" x14ac:dyDescent="0.2">
      <c r="A125" s="64" t="s">
        <v>80</v>
      </c>
      <c r="B125" s="20">
        <v>140</v>
      </c>
      <c r="C125" s="26">
        <v>700</v>
      </c>
      <c r="D125" s="27">
        <v>4.8600000000000003</v>
      </c>
      <c r="E125" s="28">
        <v>1251.2</v>
      </c>
      <c r="F125" s="28">
        <v>1377.1</v>
      </c>
      <c r="G125" s="29">
        <v>1.7647999999999999</v>
      </c>
    </row>
    <row r="126" spans="1:7" x14ac:dyDescent="0.2">
      <c r="A126" s="64" t="s">
        <v>80</v>
      </c>
      <c r="B126" s="20">
        <v>140</v>
      </c>
      <c r="C126" s="26">
        <v>800</v>
      </c>
      <c r="D126" s="27">
        <v>5.3010000000000002</v>
      </c>
      <c r="E126" s="28">
        <v>1290.5</v>
      </c>
      <c r="F126" s="28">
        <v>1427.9</v>
      </c>
      <c r="G126" s="29">
        <v>1.8068</v>
      </c>
    </row>
    <row r="127" spans="1:7" x14ac:dyDescent="0.2">
      <c r="A127" s="64" t="s">
        <v>80</v>
      </c>
      <c r="B127" s="20">
        <v>140</v>
      </c>
      <c r="C127" s="26">
        <v>900</v>
      </c>
      <c r="D127" s="27">
        <v>5.7389999999999999</v>
      </c>
      <c r="E127" s="28">
        <v>1330.4</v>
      </c>
      <c r="F127" s="28">
        <v>1479.1</v>
      </c>
      <c r="G127" s="29">
        <v>1.8459000000000001</v>
      </c>
    </row>
    <row r="128" spans="1:7" x14ac:dyDescent="0.2">
      <c r="A128" s="64" t="s">
        <v>80</v>
      </c>
      <c r="B128" s="20">
        <v>140</v>
      </c>
      <c r="C128" s="26">
        <v>1000</v>
      </c>
      <c r="D128" s="27">
        <v>6.173</v>
      </c>
      <c r="E128" s="28">
        <v>1371</v>
      </c>
      <c r="F128" s="28">
        <v>1531</v>
      </c>
      <c r="G128" s="29">
        <v>1.8827</v>
      </c>
    </row>
    <row r="129" spans="1:7" x14ac:dyDescent="0.2">
      <c r="A129" s="64" t="s">
        <v>80</v>
      </c>
      <c r="B129" s="20">
        <v>140</v>
      </c>
      <c r="C129" s="26">
        <v>1100</v>
      </c>
      <c r="D129" s="27">
        <v>6.6050000000000004</v>
      </c>
      <c r="E129" s="28">
        <v>1412.4</v>
      </c>
      <c r="F129" s="28">
        <v>1583.6</v>
      </c>
      <c r="G129" s="29">
        <v>1.9176</v>
      </c>
    </row>
    <row r="130" spans="1:7" x14ac:dyDescent="0.2">
      <c r="A130" s="65" t="s">
        <v>80</v>
      </c>
      <c r="B130" s="21">
        <v>140</v>
      </c>
      <c r="C130" s="30">
        <v>1200</v>
      </c>
      <c r="D130" s="31">
        <v>7.0359999999999996</v>
      </c>
      <c r="E130" s="32">
        <v>1454.6</v>
      </c>
      <c r="F130" s="32">
        <v>1636.9</v>
      </c>
      <c r="G130" s="33">
        <v>1.9507000000000001</v>
      </c>
    </row>
    <row r="131" spans="1:7" x14ac:dyDescent="0.2">
      <c r="A131" s="71">
        <v>160</v>
      </c>
      <c r="B131" s="17">
        <v>160</v>
      </c>
      <c r="C131" s="26">
        <v>363.6</v>
      </c>
      <c r="D131" s="26">
        <v>2.8359999999999999</v>
      </c>
      <c r="E131" s="26">
        <v>1112</v>
      </c>
      <c r="F131" s="26">
        <v>1196</v>
      </c>
      <c r="G131" s="34">
        <v>1.5650999999999999</v>
      </c>
    </row>
    <row r="132" spans="1:7" x14ac:dyDescent="0.2">
      <c r="A132" s="71" t="s">
        <v>80</v>
      </c>
      <c r="B132" s="17">
        <v>160</v>
      </c>
      <c r="C132" s="26">
        <v>400</v>
      </c>
      <c r="D132" s="26">
        <v>3.0070000000000001</v>
      </c>
      <c r="E132" s="26">
        <v>1128.8</v>
      </c>
      <c r="F132" s="26">
        <v>1217.8</v>
      </c>
      <c r="G132" s="34">
        <v>1.5911</v>
      </c>
    </row>
    <row r="133" spans="1:7" x14ac:dyDescent="0.2">
      <c r="A133" s="71" t="s">
        <v>80</v>
      </c>
      <c r="B133" s="17">
        <v>160</v>
      </c>
      <c r="C133" s="26">
        <v>450</v>
      </c>
      <c r="D133" s="26">
        <v>3.2280000000000002</v>
      </c>
      <c r="E133" s="26">
        <v>1150.5</v>
      </c>
      <c r="F133" s="26">
        <v>1246.0999999999999</v>
      </c>
      <c r="G133" s="34">
        <v>1.623</v>
      </c>
    </row>
    <row r="134" spans="1:7" x14ac:dyDescent="0.2">
      <c r="A134" s="71" t="s">
        <v>80</v>
      </c>
      <c r="B134" s="17">
        <v>160</v>
      </c>
      <c r="C134" s="26">
        <v>500</v>
      </c>
      <c r="D134" s="26">
        <v>3.44</v>
      </c>
      <c r="E134" s="26">
        <v>1171.2</v>
      </c>
      <c r="F134" s="26">
        <v>1273</v>
      </c>
      <c r="G134" s="34">
        <v>1.6517999999999999</v>
      </c>
    </row>
    <row r="135" spans="1:7" x14ac:dyDescent="0.2">
      <c r="A135" s="71" t="s">
        <v>80</v>
      </c>
      <c r="B135" s="17">
        <v>160</v>
      </c>
      <c r="C135" s="26">
        <v>550</v>
      </c>
      <c r="D135" s="26">
        <v>3.6459999999999999</v>
      </c>
      <c r="E135" s="26">
        <v>1191.3</v>
      </c>
      <c r="F135" s="26">
        <v>1299.2</v>
      </c>
      <c r="G135" s="34">
        <v>1.6785000000000001</v>
      </c>
    </row>
    <row r="136" spans="1:7" x14ac:dyDescent="0.2">
      <c r="A136" s="71" t="s">
        <v>80</v>
      </c>
      <c r="B136" s="17">
        <v>160</v>
      </c>
      <c r="C136" s="26">
        <v>600</v>
      </c>
      <c r="D136" s="26">
        <v>3.8479999999999999</v>
      </c>
      <c r="E136" s="26">
        <v>1211.0999999999999</v>
      </c>
      <c r="F136" s="26">
        <v>1325</v>
      </c>
      <c r="G136" s="34">
        <v>1.7034</v>
      </c>
    </row>
    <row r="137" spans="1:7" x14ac:dyDescent="0.2">
      <c r="A137" s="71" t="s">
        <v>80</v>
      </c>
      <c r="B137" s="17">
        <v>160</v>
      </c>
      <c r="C137" s="26">
        <v>700</v>
      </c>
      <c r="D137" s="26">
        <v>4.2430000000000003</v>
      </c>
      <c r="E137" s="26">
        <v>1250.4000000000001</v>
      </c>
      <c r="F137" s="26">
        <v>1376</v>
      </c>
      <c r="G137" s="34">
        <v>1.7494000000000001</v>
      </c>
    </row>
    <row r="138" spans="1:7" x14ac:dyDescent="0.2">
      <c r="A138" s="71" t="s">
        <v>80</v>
      </c>
      <c r="B138" s="17">
        <v>160</v>
      </c>
      <c r="C138" s="26">
        <v>800</v>
      </c>
      <c r="D138" s="26">
        <v>4.6310000000000002</v>
      </c>
      <c r="E138" s="26">
        <v>1289.9000000000001</v>
      </c>
      <c r="F138" s="26">
        <v>1427</v>
      </c>
      <c r="G138" s="34">
        <v>1.7916000000000001</v>
      </c>
    </row>
    <row r="139" spans="1:7" x14ac:dyDescent="0.2">
      <c r="A139" s="71" t="s">
        <v>80</v>
      </c>
      <c r="B139" s="17">
        <v>160</v>
      </c>
      <c r="C139" s="26">
        <v>900</v>
      </c>
      <c r="D139" s="26">
        <v>5.0149999999999997</v>
      </c>
      <c r="E139" s="26">
        <v>1329.9</v>
      </c>
      <c r="F139" s="26">
        <v>1478.4</v>
      </c>
      <c r="G139" s="34">
        <v>1.8308</v>
      </c>
    </row>
    <row r="140" spans="1:7" x14ac:dyDescent="0.2">
      <c r="A140" s="71" t="s">
        <v>80</v>
      </c>
      <c r="B140" s="17">
        <v>160</v>
      </c>
      <c r="C140" s="26">
        <v>1000</v>
      </c>
      <c r="D140" s="26">
        <v>5.3970000000000002</v>
      </c>
      <c r="E140" s="26">
        <v>1370.6</v>
      </c>
      <c r="F140" s="26">
        <v>1530.4</v>
      </c>
      <c r="G140" s="34">
        <v>1.8676999999999999</v>
      </c>
    </row>
    <row r="141" spans="1:7" x14ac:dyDescent="0.2">
      <c r="A141" s="71" t="s">
        <v>80</v>
      </c>
      <c r="B141" s="17">
        <v>160</v>
      </c>
      <c r="C141" s="26">
        <v>1100</v>
      </c>
      <c r="D141" s="26">
        <v>5.7759999999999998</v>
      </c>
      <c r="E141" s="26">
        <v>1412.1</v>
      </c>
      <c r="F141" s="26">
        <v>1583.1</v>
      </c>
      <c r="G141" s="34">
        <v>1.9026000000000001</v>
      </c>
    </row>
    <row r="142" spans="1:7" x14ac:dyDescent="0.2">
      <c r="A142" s="71" t="s">
        <v>80</v>
      </c>
      <c r="B142" s="17">
        <v>160</v>
      </c>
      <c r="C142" s="26">
        <v>1200</v>
      </c>
      <c r="D142" s="26">
        <v>6.1539999999999999</v>
      </c>
      <c r="E142" s="26">
        <v>1454.3</v>
      </c>
      <c r="F142" s="26">
        <v>1636.5</v>
      </c>
      <c r="G142" s="34">
        <v>1.9358</v>
      </c>
    </row>
    <row r="143" spans="1:7" x14ac:dyDescent="0.2">
      <c r="A143" s="63">
        <v>180</v>
      </c>
      <c r="B143" s="19">
        <v>180</v>
      </c>
      <c r="C143" s="22">
        <v>373.1</v>
      </c>
      <c r="D143" s="23">
        <v>2.5329999999999999</v>
      </c>
      <c r="E143" s="24">
        <v>1113.4000000000001</v>
      </c>
      <c r="F143" s="24">
        <v>1197.8</v>
      </c>
      <c r="G143" s="25">
        <v>1.5552999999999999</v>
      </c>
    </row>
    <row r="144" spans="1:7" x14ac:dyDescent="0.2">
      <c r="A144" s="64" t="s">
        <v>80</v>
      </c>
      <c r="B144" s="20">
        <v>180</v>
      </c>
      <c r="C144" s="26">
        <v>400</v>
      </c>
      <c r="D144" s="27">
        <v>2.6480000000000001</v>
      </c>
      <c r="E144" s="28">
        <v>1126.2</v>
      </c>
      <c r="F144" s="28">
        <v>1214.4000000000001</v>
      </c>
      <c r="G144" s="29">
        <v>1.5749</v>
      </c>
    </row>
    <row r="145" spans="1:7" x14ac:dyDescent="0.2">
      <c r="A145" s="64" t="s">
        <v>80</v>
      </c>
      <c r="B145" s="20">
        <v>180</v>
      </c>
      <c r="C145" s="26">
        <v>450</v>
      </c>
      <c r="D145" s="27">
        <v>2.85</v>
      </c>
      <c r="E145" s="28">
        <v>1148.5</v>
      </c>
      <c r="F145" s="28">
        <v>1243.4000000000001</v>
      </c>
      <c r="G145" s="29">
        <v>1.6077999999999999</v>
      </c>
    </row>
    <row r="146" spans="1:7" x14ac:dyDescent="0.2">
      <c r="A146" s="64" t="s">
        <v>80</v>
      </c>
      <c r="B146" s="20">
        <v>180</v>
      </c>
      <c r="C146" s="26">
        <v>500</v>
      </c>
      <c r="D146" s="27">
        <v>3.0419999999999998</v>
      </c>
      <c r="E146" s="28">
        <v>1169.5999999999999</v>
      </c>
      <c r="F146" s="28">
        <v>1270.9000000000001</v>
      </c>
      <c r="G146" s="29">
        <v>1.6372</v>
      </c>
    </row>
    <row r="147" spans="1:7" x14ac:dyDescent="0.2">
      <c r="A147" s="64" t="s">
        <v>80</v>
      </c>
      <c r="B147" s="20">
        <v>180</v>
      </c>
      <c r="C147" s="26">
        <v>550</v>
      </c>
      <c r="D147" s="27">
        <v>3.2280000000000002</v>
      </c>
      <c r="E147" s="28">
        <v>1190</v>
      </c>
      <c r="F147" s="28">
        <v>1297.5</v>
      </c>
      <c r="G147" s="29">
        <v>1.6641999999999999</v>
      </c>
    </row>
    <row r="148" spans="1:7" x14ac:dyDescent="0.2">
      <c r="A148" s="64" t="s">
        <v>80</v>
      </c>
      <c r="B148" s="20">
        <v>180</v>
      </c>
      <c r="C148" s="26">
        <v>600</v>
      </c>
      <c r="D148" s="27">
        <v>3.4089999999999998</v>
      </c>
      <c r="E148" s="28">
        <v>1210</v>
      </c>
      <c r="F148" s="28">
        <v>1323.5</v>
      </c>
      <c r="G148" s="29">
        <v>1.6893</v>
      </c>
    </row>
    <row r="149" spans="1:7" x14ac:dyDescent="0.2">
      <c r="A149" s="64" t="s">
        <v>80</v>
      </c>
      <c r="B149" s="20">
        <v>180</v>
      </c>
      <c r="C149" s="26">
        <v>700</v>
      </c>
      <c r="D149" s="27">
        <v>3.7629999999999999</v>
      </c>
      <c r="E149" s="28">
        <v>1249.5999999999999</v>
      </c>
      <c r="F149" s="28">
        <v>1374.9</v>
      </c>
      <c r="G149" s="29">
        <v>1.7357</v>
      </c>
    </row>
    <row r="150" spans="1:7" x14ac:dyDescent="0.2">
      <c r="A150" s="64" t="s">
        <v>80</v>
      </c>
      <c r="B150" s="20">
        <v>180</v>
      </c>
      <c r="C150" s="26">
        <v>800</v>
      </c>
      <c r="D150" s="27">
        <v>4.1100000000000003</v>
      </c>
      <c r="E150" s="28">
        <v>1289.3</v>
      </c>
      <c r="F150" s="28">
        <v>1426.2</v>
      </c>
      <c r="G150" s="29">
        <v>1.7781</v>
      </c>
    </row>
    <row r="151" spans="1:7" x14ac:dyDescent="0.2">
      <c r="A151" s="64" t="s">
        <v>80</v>
      </c>
      <c r="B151" s="20">
        <v>180</v>
      </c>
      <c r="C151" s="26">
        <v>900</v>
      </c>
      <c r="D151" s="27">
        <v>4.4530000000000003</v>
      </c>
      <c r="E151" s="28">
        <v>1329.4</v>
      </c>
      <c r="F151" s="28">
        <v>1477.7</v>
      </c>
      <c r="G151" s="29">
        <v>1.8173999999999999</v>
      </c>
    </row>
    <row r="152" spans="1:7" x14ac:dyDescent="0.2">
      <c r="A152" s="64" t="s">
        <v>80</v>
      </c>
      <c r="B152" s="20">
        <v>180</v>
      </c>
      <c r="C152" s="26">
        <v>1000</v>
      </c>
      <c r="D152" s="27">
        <v>4.7930000000000001</v>
      </c>
      <c r="E152" s="28">
        <v>1370.2</v>
      </c>
      <c r="F152" s="28">
        <v>1529.8</v>
      </c>
      <c r="G152" s="29">
        <v>1.8545</v>
      </c>
    </row>
    <row r="153" spans="1:7" x14ac:dyDescent="0.2">
      <c r="A153" s="64" t="s">
        <v>80</v>
      </c>
      <c r="B153" s="20">
        <v>180</v>
      </c>
      <c r="C153" s="26">
        <v>1100</v>
      </c>
      <c r="D153" s="27">
        <v>5.1310000000000002</v>
      </c>
      <c r="E153" s="28">
        <v>1411.7</v>
      </c>
      <c r="F153" s="28">
        <v>1582.6</v>
      </c>
      <c r="G153" s="29">
        <v>1.8894</v>
      </c>
    </row>
    <row r="154" spans="1:7" x14ac:dyDescent="0.2">
      <c r="A154" s="65" t="s">
        <v>80</v>
      </c>
      <c r="B154" s="21">
        <v>180</v>
      </c>
      <c r="C154" s="30">
        <v>1200</v>
      </c>
      <c r="D154" s="31">
        <v>5.4669999999999996</v>
      </c>
      <c r="E154" s="32">
        <v>1454</v>
      </c>
      <c r="F154" s="32">
        <v>1636.1</v>
      </c>
      <c r="G154" s="33">
        <v>1.9227000000000001</v>
      </c>
    </row>
    <row r="155" spans="1:7" x14ac:dyDescent="0.2">
      <c r="A155" s="71">
        <v>200</v>
      </c>
      <c r="B155" s="17">
        <v>200</v>
      </c>
      <c r="C155" s="26">
        <v>381.8</v>
      </c>
      <c r="D155" s="26">
        <v>2.2890000000000001</v>
      </c>
      <c r="E155" s="26">
        <v>1114.5999999999999</v>
      </c>
      <c r="F155" s="26">
        <v>1199.3</v>
      </c>
      <c r="G155" s="34">
        <v>1.5464</v>
      </c>
    </row>
    <row r="156" spans="1:7" x14ac:dyDescent="0.2">
      <c r="A156" s="71" t="s">
        <v>80</v>
      </c>
      <c r="B156" s="17">
        <v>200</v>
      </c>
      <c r="C156" s="26">
        <v>400</v>
      </c>
      <c r="D156" s="26">
        <v>2.3610000000000002</v>
      </c>
      <c r="E156" s="26">
        <v>1123.5</v>
      </c>
      <c r="F156" s="26">
        <v>1210.8</v>
      </c>
      <c r="G156" s="34">
        <v>1.56</v>
      </c>
    </row>
    <row r="157" spans="1:7" x14ac:dyDescent="0.2">
      <c r="A157" s="71" t="s">
        <v>80</v>
      </c>
      <c r="B157" s="17">
        <v>200</v>
      </c>
      <c r="C157" s="26">
        <v>450</v>
      </c>
      <c r="D157" s="26">
        <v>2.548</v>
      </c>
      <c r="E157" s="26">
        <v>1146.4000000000001</v>
      </c>
      <c r="F157" s="26">
        <v>1240.7</v>
      </c>
      <c r="G157" s="34">
        <v>1.5938000000000001</v>
      </c>
    </row>
    <row r="158" spans="1:7" x14ac:dyDescent="0.2">
      <c r="A158" s="71" t="s">
        <v>80</v>
      </c>
      <c r="B158" s="17">
        <v>200</v>
      </c>
      <c r="C158" s="26">
        <v>500</v>
      </c>
      <c r="D158" s="26">
        <v>2.7240000000000002</v>
      </c>
      <c r="E158" s="26">
        <v>1168</v>
      </c>
      <c r="F158" s="26">
        <v>1268.8</v>
      </c>
      <c r="G158" s="34">
        <v>1.6238999999999999</v>
      </c>
    </row>
    <row r="159" spans="1:7" x14ac:dyDescent="0.2">
      <c r="A159" s="71" t="s">
        <v>80</v>
      </c>
      <c r="B159" s="17">
        <v>200</v>
      </c>
      <c r="C159" s="26">
        <v>550</v>
      </c>
      <c r="D159" s="26">
        <v>2.8929999999999998</v>
      </c>
      <c r="E159" s="26">
        <v>1188.7</v>
      </c>
      <c r="F159" s="26">
        <v>1295.7</v>
      </c>
      <c r="G159" s="34">
        <v>1.6512</v>
      </c>
    </row>
    <row r="160" spans="1:7" x14ac:dyDescent="0.2">
      <c r="A160" s="71" t="s">
        <v>80</v>
      </c>
      <c r="B160" s="17">
        <v>200</v>
      </c>
      <c r="C160" s="26">
        <v>600</v>
      </c>
      <c r="D160" s="26">
        <v>3.0579999999999998</v>
      </c>
      <c r="E160" s="26">
        <v>1208.9000000000001</v>
      </c>
      <c r="F160" s="26">
        <v>1322.1</v>
      </c>
      <c r="G160" s="34">
        <v>1.6767000000000001</v>
      </c>
    </row>
    <row r="161" spans="1:7" x14ac:dyDescent="0.2">
      <c r="A161" s="71" t="s">
        <v>80</v>
      </c>
      <c r="B161" s="17">
        <v>200</v>
      </c>
      <c r="C161" s="26">
        <v>700</v>
      </c>
      <c r="D161" s="26">
        <v>3.379</v>
      </c>
      <c r="E161" s="26">
        <v>1248.8</v>
      </c>
      <c r="F161" s="26">
        <v>1373.8</v>
      </c>
      <c r="G161" s="34">
        <v>1.7234</v>
      </c>
    </row>
    <row r="162" spans="1:7" x14ac:dyDescent="0.2">
      <c r="A162" s="71" t="s">
        <v>80</v>
      </c>
      <c r="B162" s="17">
        <v>200</v>
      </c>
      <c r="C162" s="26">
        <v>800</v>
      </c>
      <c r="D162" s="26">
        <v>3.6930000000000001</v>
      </c>
      <c r="E162" s="26">
        <v>1288.5999999999999</v>
      </c>
      <c r="F162" s="26">
        <v>1425.3</v>
      </c>
      <c r="G162" s="34">
        <v>1.766</v>
      </c>
    </row>
    <row r="163" spans="1:7" x14ac:dyDescent="0.2">
      <c r="A163" s="71" t="s">
        <v>80</v>
      </c>
      <c r="B163" s="17">
        <v>200</v>
      </c>
      <c r="C163" s="26">
        <v>900</v>
      </c>
      <c r="D163" s="26">
        <v>4.0030000000000001</v>
      </c>
      <c r="E163" s="26">
        <v>1328.9</v>
      </c>
      <c r="F163" s="26">
        <v>1477.1</v>
      </c>
      <c r="G163" s="34">
        <v>1.8055000000000001</v>
      </c>
    </row>
    <row r="164" spans="1:7" x14ac:dyDescent="0.2">
      <c r="A164" s="71" t="s">
        <v>80</v>
      </c>
      <c r="B164" s="17">
        <v>200</v>
      </c>
      <c r="C164" s="26">
        <v>1000</v>
      </c>
      <c r="D164" s="26">
        <v>4.3099999999999996</v>
      </c>
      <c r="E164" s="26">
        <v>1369.8</v>
      </c>
      <c r="F164" s="26">
        <v>1529.3</v>
      </c>
      <c r="G164" s="34">
        <v>1.8425</v>
      </c>
    </row>
    <row r="165" spans="1:7" x14ac:dyDescent="0.2">
      <c r="A165" s="71" t="s">
        <v>80</v>
      </c>
      <c r="B165" s="17">
        <v>200</v>
      </c>
      <c r="C165" s="26">
        <v>1100</v>
      </c>
      <c r="D165" s="26">
        <v>4.6150000000000002</v>
      </c>
      <c r="E165" s="26">
        <v>1411.4</v>
      </c>
      <c r="F165" s="26">
        <v>1582.2</v>
      </c>
      <c r="G165" s="34">
        <v>1.8775999999999999</v>
      </c>
    </row>
    <row r="166" spans="1:7" x14ac:dyDescent="0.2">
      <c r="A166" s="71" t="s">
        <v>80</v>
      </c>
      <c r="B166" s="17">
        <v>200</v>
      </c>
      <c r="C166" s="26">
        <v>1200</v>
      </c>
      <c r="D166" s="26">
        <v>4.9180000000000001</v>
      </c>
      <c r="E166" s="26">
        <v>1453.7</v>
      </c>
      <c r="F166" s="26">
        <v>1635.7</v>
      </c>
      <c r="G166" s="34">
        <v>1.9109</v>
      </c>
    </row>
    <row r="167" spans="1:7" x14ac:dyDescent="0.2">
      <c r="A167" s="63">
        <v>250</v>
      </c>
      <c r="B167" s="19">
        <v>250</v>
      </c>
      <c r="C167" s="22">
        <v>401</v>
      </c>
      <c r="D167" s="23">
        <v>1.845</v>
      </c>
      <c r="E167" s="24">
        <v>1116.7</v>
      </c>
      <c r="F167" s="24">
        <v>1202.0999999999999</v>
      </c>
      <c r="G167" s="25">
        <v>1.5274000000000001</v>
      </c>
    </row>
    <row r="168" spans="1:7" x14ac:dyDescent="0.2">
      <c r="A168" s="64" t="s">
        <v>80</v>
      </c>
      <c r="B168" s="20">
        <v>250</v>
      </c>
      <c r="C168" s="26">
        <v>450</v>
      </c>
      <c r="D168" s="27">
        <v>2.0019999999999998</v>
      </c>
      <c r="E168" s="28">
        <v>1141.0999999999999</v>
      </c>
      <c r="F168" s="28">
        <v>1233.7</v>
      </c>
      <c r="G168" s="29">
        <v>1.5631999999999999</v>
      </c>
    </row>
    <row r="169" spans="1:7" x14ac:dyDescent="0.2">
      <c r="A169" s="64" t="s">
        <v>80</v>
      </c>
      <c r="B169" s="20">
        <v>250</v>
      </c>
      <c r="C169" s="26">
        <v>500</v>
      </c>
      <c r="D169" s="27">
        <v>2.15</v>
      </c>
      <c r="E169" s="28">
        <v>1163.8</v>
      </c>
      <c r="F169" s="28">
        <v>1263.3</v>
      </c>
      <c r="G169" s="29">
        <v>1.5948</v>
      </c>
    </row>
    <row r="170" spans="1:7" x14ac:dyDescent="0.2">
      <c r="A170" s="64" t="s">
        <v>80</v>
      </c>
      <c r="B170" s="20">
        <v>250</v>
      </c>
      <c r="C170" s="26">
        <v>550</v>
      </c>
      <c r="D170" s="27">
        <v>2.29</v>
      </c>
      <c r="E170" s="28">
        <v>1185.3</v>
      </c>
      <c r="F170" s="28">
        <v>1291.3</v>
      </c>
      <c r="G170" s="29">
        <v>1.6233</v>
      </c>
    </row>
    <row r="171" spans="1:7" x14ac:dyDescent="0.2">
      <c r="A171" s="64" t="s">
        <v>80</v>
      </c>
      <c r="B171" s="20">
        <v>250</v>
      </c>
      <c r="C171" s="26">
        <v>600</v>
      </c>
      <c r="D171" s="27">
        <v>2.4260000000000002</v>
      </c>
      <c r="E171" s="28">
        <v>1206.0999999999999</v>
      </c>
      <c r="F171" s="28">
        <v>1318.3</v>
      </c>
      <c r="G171" s="29">
        <v>1.6494</v>
      </c>
    </row>
    <row r="172" spans="1:7" x14ac:dyDescent="0.2">
      <c r="A172" s="64" t="s">
        <v>80</v>
      </c>
      <c r="B172" s="20">
        <v>250</v>
      </c>
      <c r="C172" s="26">
        <v>700</v>
      </c>
      <c r="D172" s="27">
        <v>2.6880000000000002</v>
      </c>
      <c r="E172" s="28">
        <v>1246.7</v>
      </c>
      <c r="F172" s="28">
        <v>1371.1</v>
      </c>
      <c r="G172" s="29">
        <v>1.6970000000000001</v>
      </c>
    </row>
    <row r="173" spans="1:7" x14ac:dyDescent="0.2">
      <c r="A173" s="64" t="s">
        <v>80</v>
      </c>
      <c r="B173" s="20">
        <v>250</v>
      </c>
      <c r="C173" s="26">
        <v>800</v>
      </c>
      <c r="D173" s="27">
        <v>2.9430000000000001</v>
      </c>
      <c r="E173" s="28">
        <v>1287</v>
      </c>
      <c r="F173" s="28">
        <v>1423.2</v>
      </c>
      <c r="G173" s="29">
        <v>1.7301</v>
      </c>
    </row>
    <row r="174" spans="1:7" x14ac:dyDescent="0.2">
      <c r="A174" s="64" t="s">
        <v>80</v>
      </c>
      <c r="B174" s="20">
        <v>250</v>
      </c>
      <c r="C174" s="26">
        <v>900</v>
      </c>
      <c r="D174" s="27">
        <v>3.1930000000000001</v>
      </c>
      <c r="E174" s="28">
        <v>1327.6</v>
      </c>
      <c r="F174" s="28">
        <v>1475.3</v>
      </c>
      <c r="G174" s="29">
        <v>1.7799</v>
      </c>
    </row>
    <row r="175" spans="1:7" x14ac:dyDescent="0.2">
      <c r="A175" s="64" t="s">
        <v>80</v>
      </c>
      <c r="B175" s="20">
        <v>250</v>
      </c>
      <c r="C175" s="26">
        <v>1000</v>
      </c>
      <c r="D175" s="27">
        <v>3.44</v>
      </c>
      <c r="E175" s="28">
        <v>1368.7</v>
      </c>
      <c r="F175" s="28">
        <v>1527.9</v>
      </c>
      <c r="G175" s="29">
        <v>1.8171999999999999</v>
      </c>
    </row>
    <row r="176" spans="1:7" x14ac:dyDescent="0.2">
      <c r="A176" s="64" t="s">
        <v>80</v>
      </c>
      <c r="B176" s="20">
        <v>250</v>
      </c>
      <c r="C176" s="26">
        <v>1100</v>
      </c>
      <c r="D176" s="27">
        <v>3.6850000000000001</v>
      </c>
      <c r="E176" s="28">
        <v>1410.5</v>
      </c>
      <c r="F176" s="28">
        <v>1581</v>
      </c>
      <c r="G176" s="29">
        <v>1.8524</v>
      </c>
    </row>
    <row r="177" spans="1:7" x14ac:dyDescent="0.2">
      <c r="A177" s="64" t="s">
        <v>80</v>
      </c>
      <c r="B177" s="20">
        <v>250</v>
      </c>
      <c r="C177" s="26">
        <v>1200</v>
      </c>
      <c r="D177" s="27">
        <v>3.9289999999999998</v>
      </c>
      <c r="E177" s="28">
        <v>1453</v>
      </c>
      <c r="F177" s="28">
        <v>1634.8</v>
      </c>
      <c r="G177" s="29">
        <v>1.8857999999999999</v>
      </c>
    </row>
    <row r="178" spans="1:7" x14ac:dyDescent="0.2">
      <c r="A178" s="65" t="s">
        <v>80</v>
      </c>
      <c r="B178" s="21">
        <v>250</v>
      </c>
      <c r="C178" s="30">
        <v>1300</v>
      </c>
      <c r="D178" s="31">
        <v>4.1719999999999997</v>
      </c>
      <c r="E178" s="32">
        <v>1496.3</v>
      </c>
      <c r="F178" s="32">
        <v>1689.3</v>
      </c>
      <c r="G178" s="33">
        <v>1.9177</v>
      </c>
    </row>
    <row r="179" spans="1:7" x14ac:dyDescent="0.2">
      <c r="A179" s="71">
        <v>300</v>
      </c>
      <c r="B179" s="17">
        <v>300</v>
      </c>
      <c r="C179" s="26">
        <v>417.4</v>
      </c>
      <c r="D179" s="26">
        <v>1.544</v>
      </c>
      <c r="E179" s="26">
        <v>1118.2</v>
      </c>
      <c r="F179" s="26">
        <v>1203.9000000000001</v>
      </c>
      <c r="G179" s="34">
        <v>1.5115000000000001</v>
      </c>
    </row>
    <row r="180" spans="1:7" x14ac:dyDescent="0.2">
      <c r="A180" s="71" t="s">
        <v>80</v>
      </c>
      <c r="B180" s="17">
        <v>300</v>
      </c>
      <c r="C180" s="26">
        <v>450</v>
      </c>
      <c r="D180" s="26">
        <v>1.6359999999999999</v>
      </c>
      <c r="E180" s="26">
        <v>1135.4000000000001</v>
      </c>
      <c r="F180" s="26">
        <v>1226.2</v>
      </c>
      <c r="G180" s="34">
        <v>1.5365</v>
      </c>
    </row>
    <row r="181" spans="1:7" x14ac:dyDescent="0.2">
      <c r="A181" s="71" t="s">
        <v>80</v>
      </c>
      <c r="B181" s="17">
        <v>300</v>
      </c>
      <c r="C181" s="26">
        <v>500</v>
      </c>
      <c r="D181" s="26">
        <v>1.766</v>
      </c>
      <c r="E181" s="26">
        <v>1159.5</v>
      </c>
      <c r="F181" s="26">
        <v>1257.5</v>
      </c>
      <c r="G181" s="34">
        <v>1.5701000000000001</v>
      </c>
    </row>
    <row r="182" spans="1:7" x14ac:dyDescent="0.2">
      <c r="A182" s="71" t="s">
        <v>80</v>
      </c>
      <c r="B182" s="17">
        <v>300</v>
      </c>
      <c r="C182" s="26">
        <v>550</v>
      </c>
      <c r="D182" s="26">
        <v>1.8879999999999999</v>
      </c>
      <c r="E182" s="26">
        <v>1181.9000000000001</v>
      </c>
      <c r="F182" s="26">
        <v>1286.7</v>
      </c>
      <c r="G182" s="34">
        <v>1.5996999999999999</v>
      </c>
    </row>
    <row r="183" spans="1:7" x14ac:dyDescent="0.2">
      <c r="A183" s="71" t="s">
        <v>80</v>
      </c>
      <c r="B183" s="17">
        <v>300</v>
      </c>
      <c r="C183" s="26">
        <v>600</v>
      </c>
      <c r="D183" s="26">
        <v>2.004</v>
      </c>
      <c r="E183" s="26">
        <v>1203.2</v>
      </c>
      <c r="F183" s="26">
        <v>1314.5</v>
      </c>
      <c r="G183" s="34">
        <v>1.6266</v>
      </c>
    </row>
    <row r="184" spans="1:7" x14ac:dyDescent="0.2">
      <c r="A184" s="71" t="s">
        <v>80</v>
      </c>
      <c r="B184" s="17">
        <v>300</v>
      </c>
      <c r="C184" s="26">
        <v>700</v>
      </c>
      <c r="D184" s="26">
        <v>2.2269999999999999</v>
      </c>
      <c r="E184" s="26">
        <v>1244</v>
      </c>
      <c r="F184" s="26">
        <v>1368.3</v>
      </c>
      <c r="G184" s="34">
        <v>1.6751</v>
      </c>
    </row>
    <row r="185" spans="1:7" x14ac:dyDescent="0.2">
      <c r="A185" s="71" t="s">
        <v>80</v>
      </c>
      <c r="B185" s="17">
        <v>300</v>
      </c>
      <c r="C185" s="26">
        <v>800</v>
      </c>
      <c r="D185" s="26">
        <v>2.4420000000000002</v>
      </c>
      <c r="E185" s="26">
        <v>1285.4000000000001</v>
      </c>
      <c r="F185" s="26">
        <v>1421</v>
      </c>
      <c r="G185" s="34">
        <v>1.7186999999999999</v>
      </c>
    </row>
    <row r="186" spans="1:7" x14ac:dyDescent="0.2">
      <c r="A186" s="71" t="s">
        <v>80</v>
      </c>
      <c r="B186" s="17">
        <v>300</v>
      </c>
      <c r="C186" s="26">
        <v>900</v>
      </c>
      <c r="D186" s="26">
        <v>2.653</v>
      </c>
      <c r="E186" s="26">
        <v>1326.3</v>
      </c>
      <c r="F186" s="26">
        <v>1473.6</v>
      </c>
      <c r="G186" s="34">
        <v>1.7588999999999999</v>
      </c>
    </row>
    <row r="187" spans="1:7" x14ac:dyDescent="0.2">
      <c r="A187" s="71" t="s">
        <v>80</v>
      </c>
      <c r="B187" s="17">
        <v>300</v>
      </c>
      <c r="C187" s="26">
        <v>1000</v>
      </c>
      <c r="D187" s="26">
        <v>2.86</v>
      </c>
      <c r="E187" s="26">
        <v>1367.7</v>
      </c>
      <c r="F187" s="26">
        <v>1526.5</v>
      </c>
      <c r="G187" s="34">
        <v>1.7964</v>
      </c>
    </row>
    <row r="188" spans="1:7" x14ac:dyDescent="0.2">
      <c r="A188" s="71" t="s">
        <v>80</v>
      </c>
      <c r="B188" s="17">
        <v>300</v>
      </c>
      <c r="C188" s="26">
        <v>1100</v>
      </c>
      <c r="D188" s="26">
        <v>3.0659999999999998</v>
      </c>
      <c r="E188" s="26">
        <v>1409.6</v>
      </c>
      <c r="F188" s="26">
        <v>1579.8</v>
      </c>
      <c r="G188" s="34">
        <v>1.8317000000000001</v>
      </c>
    </row>
    <row r="189" spans="1:7" x14ac:dyDescent="0.2">
      <c r="A189" s="71" t="s">
        <v>80</v>
      </c>
      <c r="B189" s="17">
        <v>300</v>
      </c>
      <c r="C189" s="26">
        <v>1200</v>
      </c>
      <c r="D189" s="26">
        <v>3.27</v>
      </c>
      <c r="E189" s="26">
        <v>1452.2</v>
      </c>
      <c r="F189" s="26">
        <v>1633.8</v>
      </c>
      <c r="G189" s="34">
        <v>1.8653</v>
      </c>
    </row>
    <row r="190" spans="1:7" x14ac:dyDescent="0.2">
      <c r="A190" s="71" t="s">
        <v>80</v>
      </c>
      <c r="B190" s="17">
        <v>300</v>
      </c>
      <c r="C190" s="26">
        <v>1300</v>
      </c>
      <c r="D190" s="26">
        <v>3.4729999999999999</v>
      </c>
      <c r="E190" s="26">
        <v>1495.6</v>
      </c>
      <c r="F190" s="26">
        <v>1688.4</v>
      </c>
      <c r="G190" s="34">
        <v>1.8973</v>
      </c>
    </row>
    <row r="191" spans="1:7" x14ac:dyDescent="0.2">
      <c r="A191" s="63">
        <v>350</v>
      </c>
      <c r="B191" s="19">
        <v>350</v>
      </c>
      <c r="C191" s="22">
        <v>431.8</v>
      </c>
      <c r="D191" s="23">
        <v>1.327</v>
      </c>
      <c r="E191" s="24">
        <v>1119</v>
      </c>
      <c r="F191" s="24">
        <v>1204.9000000000001</v>
      </c>
      <c r="G191" s="25">
        <v>1.4978</v>
      </c>
    </row>
    <row r="192" spans="1:7" x14ac:dyDescent="0.2">
      <c r="A192" s="64" t="s">
        <v>80</v>
      </c>
      <c r="B192" s="20">
        <v>350</v>
      </c>
      <c r="C192" s="26">
        <v>450</v>
      </c>
      <c r="D192" s="27">
        <v>1.373</v>
      </c>
      <c r="E192" s="28">
        <v>1129.2</v>
      </c>
      <c r="F192" s="28">
        <v>1218.2</v>
      </c>
      <c r="G192" s="29">
        <v>1.5125</v>
      </c>
    </row>
    <row r="193" spans="1:7" x14ac:dyDescent="0.2">
      <c r="A193" s="64" t="s">
        <v>80</v>
      </c>
      <c r="B193" s="20">
        <v>350</v>
      </c>
      <c r="C193" s="26">
        <v>500</v>
      </c>
      <c r="D193" s="27">
        <v>1.4910000000000001</v>
      </c>
      <c r="E193" s="28">
        <v>1154.9000000000001</v>
      </c>
      <c r="F193" s="28">
        <v>1251.5</v>
      </c>
      <c r="G193" s="29">
        <v>1.5482</v>
      </c>
    </row>
    <row r="194" spans="1:7" x14ac:dyDescent="0.2">
      <c r="A194" s="64" t="s">
        <v>80</v>
      </c>
      <c r="B194" s="20">
        <v>350</v>
      </c>
      <c r="C194" s="26">
        <v>550</v>
      </c>
      <c r="D194" s="27">
        <v>1.6</v>
      </c>
      <c r="E194" s="28">
        <v>1178.3</v>
      </c>
      <c r="F194" s="28">
        <v>1281.9000000000001</v>
      </c>
      <c r="G194" s="29">
        <v>1.579</v>
      </c>
    </row>
    <row r="195" spans="1:7" x14ac:dyDescent="0.2">
      <c r="A195" s="64" t="s">
        <v>80</v>
      </c>
      <c r="B195" s="20">
        <v>350</v>
      </c>
      <c r="C195" s="26">
        <v>600</v>
      </c>
      <c r="D195" s="27">
        <v>1.7030000000000001</v>
      </c>
      <c r="E195" s="28">
        <v>1200.3</v>
      </c>
      <c r="F195" s="28">
        <v>1310.5999999999999</v>
      </c>
      <c r="G195" s="29">
        <v>1.6068</v>
      </c>
    </row>
    <row r="196" spans="1:7" x14ac:dyDescent="0.2">
      <c r="A196" s="64" t="s">
        <v>80</v>
      </c>
      <c r="B196" s="20">
        <v>350</v>
      </c>
      <c r="C196" s="26">
        <v>700</v>
      </c>
      <c r="D196" s="27">
        <v>1.8979999999999999</v>
      </c>
      <c r="E196" s="28">
        <v>1242.5</v>
      </c>
      <c r="F196" s="28">
        <v>1365.4</v>
      </c>
      <c r="G196" s="29">
        <v>1.6561999999999999</v>
      </c>
    </row>
    <row r="197" spans="1:7" x14ac:dyDescent="0.2">
      <c r="A197" s="64" t="s">
        <v>80</v>
      </c>
      <c r="B197" s="20">
        <v>350</v>
      </c>
      <c r="C197" s="26">
        <v>800</v>
      </c>
      <c r="D197" s="27">
        <v>2.085</v>
      </c>
      <c r="E197" s="28">
        <v>1283.8</v>
      </c>
      <c r="F197" s="28">
        <v>1418.8</v>
      </c>
      <c r="G197" s="29">
        <v>1.7003999999999999</v>
      </c>
    </row>
    <row r="198" spans="1:7" x14ac:dyDescent="0.2">
      <c r="A198" s="64" t="s">
        <v>80</v>
      </c>
      <c r="B198" s="20">
        <v>350</v>
      </c>
      <c r="C198" s="26">
        <v>900</v>
      </c>
      <c r="D198" s="27">
        <v>2.2669999999999999</v>
      </c>
      <c r="E198" s="28">
        <v>1325</v>
      </c>
      <c r="F198" s="28">
        <v>1471.8</v>
      </c>
      <c r="G198" s="29">
        <v>1.7408999999999999</v>
      </c>
    </row>
    <row r="199" spans="1:7" x14ac:dyDescent="0.2">
      <c r="A199" s="64" t="s">
        <v>80</v>
      </c>
      <c r="B199" s="20">
        <v>350</v>
      </c>
      <c r="C199" s="26">
        <v>1000</v>
      </c>
      <c r="D199" s="27">
        <v>2.4460000000000002</v>
      </c>
      <c r="E199" s="28">
        <v>1366.6</v>
      </c>
      <c r="F199" s="28">
        <v>1525</v>
      </c>
      <c r="G199" s="29">
        <v>1.7786999999999999</v>
      </c>
    </row>
    <row r="200" spans="1:7" x14ac:dyDescent="0.2">
      <c r="A200" s="64" t="s">
        <v>80</v>
      </c>
      <c r="B200" s="20">
        <v>350</v>
      </c>
      <c r="C200" s="26">
        <v>1100</v>
      </c>
      <c r="D200" s="27">
        <v>2.6240000000000001</v>
      </c>
      <c r="E200" s="28">
        <v>1408.7</v>
      </c>
      <c r="F200" s="28">
        <v>1578.6</v>
      </c>
      <c r="G200" s="29">
        <v>1.8142</v>
      </c>
    </row>
    <row r="201" spans="1:7" x14ac:dyDescent="0.2">
      <c r="A201" s="64" t="s">
        <v>80</v>
      </c>
      <c r="B201" s="20">
        <v>350</v>
      </c>
      <c r="C201" s="26">
        <v>1200</v>
      </c>
      <c r="D201" s="27">
        <v>2.7989999999999999</v>
      </c>
      <c r="E201" s="28">
        <v>1451.5</v>
      </c>
      <c r="F201" s="28">
        <v>1632.8</v>
      </c>
      <c r="G201" s="29">
        <v>1.8478000000000001</v>
      </c>
    </row>
    <row r="202" spans="1:7" x14ac:dyDescent="0.2">
      <c r="A202" s="65" t="s">
        <v>80</v>
      </c>
      <c r="B202" s="21">
        <v>350</v>
      </c>
      <c r="C202" s="30">
        <v>1300</v>
      </c>
      <c r="D202" s="31">
        <v>2.9740000000000002</v>
      </c>
      <c r="E202" s="32">
        <v>1495</v>
      </c>
      <c r="F202" s="32">
        <v>1687.6</v>
      </c>
      <c r="G202" s="33">
        <v>1.8798999999999999</v>
      </c>
    </row>
    <row r="203" spans="1:7" x14ac:dyDescent="0.2">
      <c r="A203" s="71">
        <v>400</v>
      </c>
      <c r="B203" s="17">
        <v>400</v>
      </c>
      <c r="C203" s="26">
        <v>444.7</v>
      </c>
      <c r="D203" s="26">
        <v>1.1619999999999999</v>
      </c>
      <c r="E203" s="26">
        <v>1119.5</v>
      </c>
      <c r="F203" s="26">
        <v>1205.5</v>
      </c>
      <c r="G203" s="34">
        <v>1.4856</v>
      </c>
    </row>
    <row r="204" spans="1:7" x14ac:dyDescent="0.2">
      <c r="A204" s="71" t="s">
        <v>80</v>
      </c>
      <c r="B204" s="17">
        <v>400</v>
      </c>
      <c r="C204" s="26">
        <v>450</v>
      </c>
      <c r="D204" s="26">
        <v>1.175</v>
      </c>
      <c r="E204" s="26">
        <v>1122.5999999999999</v>
      </c>
      <c r="F204" s="26">
        <v>1209.5</v>
      </c>
      <c r="G204" s="34">
        <v>1.4901</v>
      </c>
    </row>
    <row r="205" spans="1:7" x14ac:dyDescent="0.2">
      <c r="A205" s="71" t="s">
        <v>80</v>
      </c>
      <c r="B205" s="17">
        <v>400</v>
      </c>
      <c r="C205" s="26">
        <v>500</v>
      </c>
      <c r="D205" s="26">
        <v>1.284</v>
      </c>
      <c r="E205" s="26">
        <v>1150.0999999999999</v>
      </c>
      <c r="F205" s="26">
        <v>1245.2</v>
      </c>
      <c r="G205" s="34">
        <v>1.5282</v>
      </c>
    </row>
    <row r="206" spans="1:7" x14ac:dyDescent="0.2">
      <c r="A206" s="71" t="s">
        <v>80</v>
      </c>
      <c r="B206" s="17">
        <v>400</v>
      </c>
      <c r="C206" s="26">
        <v>550</v>
      </c>
      <c r="D206" s="26">
        <v>1.383</v>
      </c>
      <c r="E206" s="26">
        <v>1174.5999999999999</v>
      </c>
      <c r="F206" s="26">
        <v>1277</v>
      </c>
      <c r="G206" s="34">
        <v>1.5605</v>
      </c>
    </row>
    <row r="207" spans="1:7" x14ac:dyDescent="0.2">
      <c r="A207" s="71" t="s">
        <v>80</v>
      </c>
      <c r="B207" s="17">
        <v>400</v>
      </c>
      <c r="C207" s="26">
        <v>600</v>
      </c>
      <c r="D207" s="26">
        <v>1.476</v>
      </c>
      <c r="E207" s="26">
        <v>1197.3</v>
      </c>
      <c r="F207" s="26">
        <v>1306.5999999999999</v>
      </c>
      <c r="G207" s="34">
        <v>1.5891999999999999</v>
      </c>
    </row>
    <row r="208" spans="1:7" x14ac:dyDescent="0.2">
      <c r="A208" s="71" t="s">
        <v>80</v>
      </c>
      <c r="B208" s="17">
        <v>400</v>
      </c>
      <c r="C208" s="26">
        <v>700</v>
      </c>
      <c r="D208" s="26">
        <v>1.65</v>
      </c>
      <c r="E208" s="26">
        <v>1240.4000000000001</v>
      </c>
      <c r="F208" s="26">
        <v>1362.5</v>
      </c>
      <c r="G208" s="34">
        <v>1.6396999999999999</v>
      </c>
    </row>
    <row r="209" spans="1:7" x14ac:dyDescent="0.2">
      <c r="A209" s="71" t="s">
        <v>80</v>
      </c>
      <c r="B209" s="17">
        <v>400</v>
      </c>
      <c r="C209" s="26">
        <v>800</v>
      </c>
      <c r="D209" s="26">
        <v>1.8160000000000001</v>
      </c>
      <c r="E209" s="26">
        <v>1282.0999999999999</v>
      </c>
      <c r="F209" s="26">
        <v>1416.6</v>
      </c>
      <c r="G209" s="34">
        <v>1.6843999999999999</v>
      </c>
    </row>
    <row r="210" spans="1:7" x14ac:dyDescent="0.2">
      <c r="A210" s="71" t="s">
        <v>80</v>
      </c>
      <c r="B210" s="17">
        <v>400</v>
      </c>
      <c r="C210" s="26">
        <v>900</v>
      </c>
      <c r="D210" s="26">
        <v>1.978</v>
      </c>
      <c r="E210" s="26">
        <v>1323.7</v>
      </c>
      <c r="F210" s="26">
        <v>1470.1</v>
      </c>
      <c r="G210" s="34">
        <v>1.7252000000000001</v>
      </c>
    </row>
    <row r="211" spans="1:7" x14ac:dyDescent="0.2">
      <c r="A211" s="71" t="s">
        <v>80</v>
      </c>
      <c r="B211" s="17">
        <v>400</v>
      </c>
      <c r="C211" s="26">
        <v>1000</v>
      </c>
      <c r="D211" s="26">
        <v>2.1360000000000001</v>
      </c>
      <c r="E211" s="26">
        <v>1365.5</v>
      </c>
      <c r="F211" s="26">
        <v>1523.6</v>
      </c>
      <c r="G211" s="34">
        <v>1.7632000000000001</v>
      </c>
    </row>
    <row r="212" spans="1:7" x14ac:dyDescent="0.2">
      <c r="A212" s="71" t="s">
        <v>80</v>
      </c>
      <c r="B212" s="17">
        <v>400</v>
      </c>
      <c r="C212" s="26">
        <v>1100</v>
      </c>
      <c r="D212" s="26">
        <v>2.2919999999999998</v>
      </c>
      <c r="E212" s="26">
        <v>1407.8</v>
      </c>
      <c r="F212" s="26">
        <v>1577.4</v>
      </c>
      <c r="G212" s="34">
        <v>1.7988999999999999</v>
      </c>
    </row>
    <row r="213" spans="1:7" x14ac:dyDescent="0.2">
      <c r="A213" s="71" t="s">
        <v>80</v>
      </c>
      <c r="B213" s="17">
        <v>400</v>
      </c>
      <c r="C213" s="26">
        <v>1200</v>
      </c>
      <c r="D213" s="26">
        <v>2.4460000000000002</v>
      </c>
      <c r="E213" s="26">
        <v>1450.7</v>
      </c>
      <c r="F213" s="26">
        <v>1621.8</v>
      </c>
      <c r="G213" s="34">
        <v>1.8327</v>
      </c>
    </row>
    <row r="214" spans="1:7" x14ac:dyDescent="0.2">
      <c r="A214" s="71" t="s">
        <v>80</v>
      </c>
      <c r="B214" s="17">
        <v>400</v>
      </c>
      <c r="C214" s="26">
        <v>1300</v>
      </c>
      <c r="D214" s="26">
        <v>2.5990000000000002</v>
      </c>
      <c r="E214" s="26">
        <v>1494.3</v>
      </c>
      <c r="F214" s="26">
        <v>1686.8</v>
      </c>
      <c r="G214" s="34">
        <v>1.8648</v>
      </c>
    </row>
    <row r="215" spans="1:7" x14ac:dyDescent="0.2">
      <c r="A215" s="63">
        <v>450</v>
      </c>
      <c r="B215" s="19">
        <v>450</v>
      </c>
      <c r="C215" s="22">
        <v>456.4</v>
      </c>
      <c r="D215" s="23">
        <v>1.0329999999999999</v>
      </c>
      <c r="E215" s="24">
        <v>1119.5999999999999</v>
      </c>
      <c r="F215" s="24">
        <v>1205.5999999999999</v>
      </c>
      <c r="G215" s="25">
        <v>1.4745999999999999</v>
      </c>
    </row>
    <row r="216" spans="1:7" x14ac:dyDescent="0.2">
      <c r="A216" s="64" t="s">
        <v>80</v>
      </c>
      <c r="B216" s="20">
        <v>450</v>
      </c>
      <c r="C216" s="26">
        <v>500</v>
      </c>
      <c r="D216" s="27">
        <v>1.123</v>
      </c>
      <c r="E216" s="28">
        <v>1145.0999999999999</v>
      </c>
      <c r="F216" s="28">
        <v>1238.5</v>
      </c>
      <c r="G216" s="29">
        <v>1.5097</v>
      </c>
    </row>
    <row r="217" spans="1:7" x14ac:dyDescent="0.2">
      <c r="A217" s="64" t="s">
        <v>80</v>
      </c>
      <c r="B217" s="20">
        <v>450</v>
      </c>
      <c r="C217" s="26">
        <v>550</v>
      </c>
      <c r="D217" s="27">
        <v>1.2150000000000001</v>
      </c>
      <c r="E217" s="28">
        <v>1170.7</v>
      </c>
      <c r="F217" s="28">
        <v>1271.9000000000001</v>
      </c>
      <c r="G217" s="29">
        <v>1.5436000000000001</v>
      </c>
    </row>
    <row r="218" spans="1:7" x14ac:dyDescent="0.2">
      <c r="A218" s="64" t="s">
        <v>80</v>
      </c>
      <c r="B218" s="20">
        <v>450</v>
      </c>
      <c r="C218" s="26">
        <v>600</v>
      </c>
      <c r="D218" s="27">
        <v>1.3</v>
      </c>
      <c r="E218" s="28">
        <v>1194.3</v>
      </c>
      <c r="F218" s="28">
        <v>1302.5</v>
      </c>
      <c r="G218" s="29">
        <v>1.5731999999999999</v>
      </c>
    </row>
    <row r="219" spans="1:7" x14ac:dyDescent="0.2">
      <c r="A219" s="64" t="s">
        <v>80</v>
      </c>
      <c r="B219" s="20">
        <v>450</v>
      </c>
      <c r="C219" s="26">
        <v>700</v>
      </c>
      <c r="D219" s="27">
        <v>1.458</v>
      </c>
      <c r="E219" s="28">
        <v>1238.2</v>
      </c>
      <c r="F219" s="28">
        <v>1359.6</v>
      </c>
      <c r="G219" s="29">
        <v>1.6248</v>
      </c>
    </row>
    <row r="220" spans="1:7" x14ac:dyDescent="0.2">
      <c r="A220" s="64" t="s">
        <v>80</v>
      </c>
      <c r="B220" s="20">
        <v>450</v>
      </c>
      <c r="C220" s="26">
        <v>800</v>
      </c>
      <c r="D220" s="27">
        <v>1.6080000000000001</v>
      </c>
      <c r="E220" s="28">
        <v>1280.5</v>
      </c>
      <c r="F220" s="28">
        <v>1414.4</v>
      </c>
      <c r="G220" s="29">
        <v>1.6700999999999999</v>
      </c>
    </row>
    <row r="221" spans="1:7" x14ac:dyDescent="0.2">
      <c r="A221" s="64" t="s">
        <v>80</v>
      </c>
      <c r="B221" s="20">
        <v>450</v>
      </c>
      <c r="C221" s="26">
        <v>900</v>
      </c>
      <c r="D221" s="27">
        <v>1.752</v>
      </c>
      <c r="E221" s="28">
        <v>1322.4</v>
      </c>
      <c r="F221" s="28">
        <v>1468.3</v>
      </c>
      <c r="G221" s="29">
        <v>1.7113</v>
      </c>
    </row>
    <row r="222" spans="1:7" x14ac:dyDescent="0.2">
      <c r="A222" s="64" t="s">
        <v>80</v>
      </c>
      <c r="B222" s="20">
        <v>450</v>
      </c>
      <c r="C222" s="26">
        <v>1000</v>
      </c>
      <c r="D222" s="27">
        <v>1.8939999999999999</v>
      </c>
      <c r="E222" s="28">
        <v>1364.4</v>
      </c>
      <c r="F222" s="28">
        <v>1522.2</v>
      </c>
      <c r="G222" s="29">
        <v>1.7495000000000001</v>
      </c>
    </row>
    <row r="223" spans="1:7" x14ac:dyDescent="0.2">
      <c r="A223" s="64" t="s">
        <v>80</v>
      </c>
      <c r="B223" s="20">
        <v>450</v>
      </c>
      <c r="C223" s="26">
        <v>1100</v>
      </c>
      <c r="D223" s="27">
        <v>2.0339999999999998</v>
      </c>
      <c r="E223" s="28">
        <v>1406.9</v>
      </c>
      <c r="F223" s="28">
        <v>1576.3</v>
      </c>
      <c r="G223" s="29">
        <v>1.7853000000000001</v>
      </c>
    </row>
    <row r="224" spans="1:7" x14ac:dyDescent="0.2">
      <c r="A224" s="64" t="s">
        <v>80</v>
      </c>
      <c r="B224" s="20">
        <v>450</v>
      </c>
      <c r="C224" s="26">
        <v>1200</v>
      </c>
      <c r="D224" s="27">
        <v>2.1720000000000002</v>
      </c>
      <c r="E224" s="28">
        <v>1450</v>
      </c>
      <c r="F224" s="28">
        <v>1630.8</v>
      </c>
      <c r="G224" s="29">
        <v>1.8191999999999999</v>
      </c>
    </row>
    <row r="225" spans="1:7" x14ac:dyDescent="0.2">
      <c r="A225" s="64" t="s">
        <v>80</v>
      </c>
      <c r="B225" s="20">
        <v>450</v>
      </c>
      <c r="C225" s="26">
        <v>1300</v>
      </c>
      <c r="D225" s="27">
        <v>2.3079999999999998</v>
      </c>
      <c r="E225" s="28">
        <v>1493.7</v>
      </c>
      <c r="F225" s="28">
        <v>1685.9</v>
      </c>
      <c r="G225" s="29">
        <v>1.8514999999999999</v>
      </c>
    </row>
    <row r="226" spans="1:7" x14ac:dyDescent="0.2">
      <c r="A226" s="65" t="s">
        <v>80</v>
      </c>
      <c r="B226" s="21">
        <v>450</v>
      </c>
      <c r="C226" s="30">
        <v>1400</v>
      </c>
      <c r="D226" s="31">
        <v>2.444</v>
      </c>
      <c r="E226" s="32">
        <v>1538.1</v>
      </c>
      <c r="F226" s="32">
        <v>1741.7</v>
      </c>
      <c r="G226" s="33">
        <v>1.8823000000000001</v>
      </c>
    </row>
    <row r="227" spans="1:7" x14ac:dyDescent="0.2">
      <c r="A227" s="71">
        <v>500</v>
      </c>
      <c r="B227" s="17">
        <v>500</v>
      </c>
      <c r="C227" s="26">
        <v>467.1</v>
      </c>
      <c r="D227" s="26">
        <v>0.92800000000000005</v>
      </c>
      <c r="E227" s="26">
        <v>1119.4000000000001</v>
      </c>
      <c r="F227" s="26">
        <v>1205.3</v>
      </c>
      <c r="G227" s="34">
        <v>1.4644999999999999</v>
      </c>
    </row>
    <row r="228" spans="1:7" x14ac:dyDescent="0.2">
      <c r="A228" s="71" t="s">
        <v>80</v>
      </c>
      <c r="B228" s="17">
        <v>500</v>
      </c>
      <c r="C228" s="26">
        <v>500</v>
      </c>
      <c r="D228" s="26">
        <v>0.99199999999999999</v>
      </c>
      <c r="E228" s="26">
        <v>1139.7</v>
      </c>
      <c r="F228" s="26">
        <v>1231.5</v>
      </c>
      <c r="G228" s="34">
        <v>1.4923</v>
      </c>
    </row>
    <row r="229" spans="1:7" x14ac:dyDescent="0.2">
      <c r="A229" s="71" t="s">
        <v>80</v>
      </c>
      <c r="B229" s="17">
        <v>500</v>
      </c>
      <c r="C229" s="26">
        <v>550</v>
      </c>
      <c r="D229" s="26">
        <v>1.079</v>
      </c>
      <c r="E229" s="26">
        <v>1166.7</v>
      </c>
      <c r="F229" s="26">
        <v>1266.5999999999999</v>
      </c>
      <c r="G229" s="34">
        <v>1.5279</v>
      </c>
    </row>
    <row r="230" spans="1:7" x14ac:dyDescent="0.2">
      <c r="A230" s="71" t="s">
        <v>80</v>
      </c>
      <c r="B230" s="17">
        <v>500</v>
      </c>
      <c r="C230" s="26">
        <v>600</v>
      </c>
      <c r="D230" s="26">
        <v>1.1579999999999999</v>
      </c>
      <c r="E230" s="26">
        <v>1191.0999999999999</v>
      </c>
      <c r="F230" s="26">
        <v>1298.3</v>
      </c>
      <c r="G230" s="34">
        <v>1.5585</v>
      </c>
    </row>
    <row r="231" spans="1:7" x14ac:dyDescent="0.2">
      <c r="A231" s="71" t="s">
        <v>80</v>
      </c>
      <c r="B231" s="17">
        <v>500</v>
      </c>
      <c r="C231" s="26">
        <v>700</v>
      </c>
      <c r="D231" s="26">
        <v>1.304</v>
      </c>
      <c r="E231" s="26">
        <v>1236</v>
      </c>
      <c r="F231" s="26">
        <v>1356.7</v>
      </c>
      <c r="G231" s="34">
        <v>1.6112</v>
      </c>
    </row>
    <row r="232" spans="1:7" x14ac:dyDescent="0.2">
      <c r="A232" s="71" t="s">
        <v>80</v>
      </c>
      <c r="B232" s="17">
        <v>500</v>
      </c>
      <c r="C232" s="26">
        <v>800</v>
      </c>
      <c r="D232" s="26">
        <v>1.4410000000000001</v>
      </c>
      <c r="E232" s="26">
        <v>1278.8</v>
      </c>
      <c r="F232" s="26">
        <v>1412.1</v>
      </c>
      <c r="G232" s="34">
        <v>1.6571</v>
      </c>
    </row>
    <row r="233" spans="1:7" x14ac:dyDescent="0.2">
      <c r="A233" s="71" t="s">
        <v>80</v>
      </c>
      <c r="B233" s="17">
        <v>500</v>
      </c>
      <c r="C233" s="26">
        <v>900</v>
      </c>
      <c r="D233" s="26">
        <v>1.5720000000000001</v>
      </c>
      <c r="E233" s="26">
        <v>1321</v>
      </c>
      <c r="F233" s="26">
        <v>1466.5</v>
      </c>
      <c r="G233" s="34">
        <v>1.6987000000000001</v>
      </c>
    </row>
    <row r="234" spans="1:7" x14ac:dyDescent="0.2">
      <c r="A234" s="71" t="s">
        <v>80</v>
      </c>
      <c r="B234" s="17">
        <v>500</v>
      </c>
      <c r="C234" s="26">
        <v>1000</v>
      </c>
      <c r="D234" s="26">
        <v>1.7010000000000001</v>
      </c>
      <c r="E234" s="26">
        <v>1363.3</v>
      </c>
      <c r="F234" s="26">
        <v>1520.7</v>
      </c>
      <c r="G234" s="34">
        <v>1.7371000000000001</v>
      </c>
    </row>
    <row r="235" spans="1:7" x14ac:dyDescent="0.2">
      <c r="A235" s="71" t="s">
        <v>80</v>
      </c>
      <c r="B235" s="17">
        <v>500</v>
      </c>
      <c r="C235" s="26">
        <v>1100</v>
      </c>
      <c r="D235" s="26">
        <v>1.827</v>
      </c>
      <c r="E235" s="26">
        <v>1406</v>
      </c>
      <c r="F235" s="26">
        <v>1575.1</v>
      </c>
      <c r="G235" s="34">
        <v>1.7730999999999999</v>
      </c>
    </row>
    <row r="236" spans="1:7" x14ac:dyDescent="0.2">
      <c r="A236" s="71" t="s">
        <v>80</v>
      </c>
      <c r="B236" s="17">
        <v>500</v>
      </c>
      <c r="C236" s="26">
        <v>1200</v>
      </c>
      <c r="D236" s="26">
        <v>1.952</v>
      </c>
      <c r="E236" s="26">
        <v>1449.2</v>
      </c>
      <c r="F236" s="26">
        <v>1629.8</v>
      </c>
      <c r="G236" s="34">
        <v>1.8071999999999999</v>
      </c>
    </row>
    <row r="237" spans="1:7" x14ac:dyDescent="0.2">
      <c r="A237" s="71" t="s">
        <v>80</v>
      </c>
      <c r="B237" s="17">
        <v>500</v>
      </c>
      <c r="C237" s="26">
        <v>1300</v>
      </c>
      <c r="D237" s="26">
        <v>2.0750000000000002</v>
      </c>
      <c r="E237" s="26">
        <v>1493.1</v>
      </c>
      <c r="F237" s="26">
        <v>1685.1</v>
      </c>
      <c r="G237" s="34">
        <v>1.8394999999999999</v>
      </c>
    </row>
    <row r="238" spans="1:7" x14ac:dyDescent="0.2">
      <c r="A238" s="71" t="s">
        <v>80</v>
      </c>
      <c r="B238" s="17">
        <v>500</v>
      </c>
      <c r="C238" s="26">
        <v>1400</v>
      </c>
      <c r="D238" s="26">
        <v>2.198</v>
      </c>
      <c r="E238" s="26">
        <v>1537.6</v>
      </c>
      <c r="F238" s="26">
        <v>1741</v>
      </c>
      <c r="G238" s="34">
        <v>1.8704000000000001</v>
      </c>
    </row>
    <row r="239" spans="1:7" x14ac:dyDescent="0.2">
      <c r="A239" s="63">
        <v>600</v>
      </c>
      <c r="B239" s="19">
        <v>600</v>
      </c>
      <c r="C239" s="22">
        <v>486.3</v>
      </c>
      <c r="D239" s="23">
        <v>0.77</v>
      </c>
      <c r="E239" s="24">
        <v>1118.5999999999999</v>
      </c>
      <c r="F239" s="24">
        <v>1204.0999999999999</v>
      </c>
      <c r="G239" s="25">
        <v>1.4463999999999999</v>
      </c>
    </row>
    <row r="240" spans="1:7" x14ac:dyDescent="0.2">
      <c r="A240" s="64" t="s">
        <v>80</v>
      </c>
      <c r="B240" s="20">
        <v>600</v>
      </c>
      <c r="C240" s="26">
        <v>500</v>
      </c>
      <c r="D240" s="27">
        <v>0.79500000000000004</v>
      </c>
      <c r="E240" s="28">
        <v>1128</v>
      </c>
      <c r="F240" s="28">
        <v>1216.2</v>
      </c>
      <c r="G240" s="29">
        <v>1.4592000000000001</v>
      </c>
    </row>
    <row r="241" spans="1:7" x14ac:dyDescent="0.2">
      <c r="A241" s="64" t="s">
        <v>80</v>
      </c>
      <c r="B241" s="20">
        <v>600</v>
      </c>
      <c r="C241" s="26">
        <v>550</v>
      </c>
      <c r="D241" s="27">
        <v>0.875</v>
      </c>
      <c r="E241" s="28">
        <v>1158.2</v>
      </c>
      <c r="F241" s="28">
        <v>1255.4000000000001</v>
      </c>
      <c r="G241" s="29">
        <v>1.4990000000000001</v>
      </c>
    </row>
    <row r="242" spans="1:7" x14ac:dyDescent="0.2">
      <c r="A242" s="64" t="s">
        <v>80</v>
      </c>
      <c r="B242" s="20">
        <v>600</v>
      </c>
      <c r="C242" s="26">
        <v>600</v>
      </c>
      <c r="D242" s="27">
        <v>0.94599999999999995</v>
      </c>
      <c r="E242" s="28">
        <v>1184.5</v>
      </c>
      <c r="F242" s="28">
        <v>1289.5</v>
      </c>
      <c r="G242" s="29">
        <v>1.532</v>
      </c>
    </row>
    <row r="243" spans="1:7" x14ac:dyDescent="0.2">
      <c r="A243" s="64" t="s">
        <v>80</v>
      </c>
      <c r="B243" s="20">
        <v>600</v>
      </c>
      <c r="C243" s="26">
        <v>700</v>
      </c>
      <c r="D243" s="27">
        <v>1.073</v>
      </c>
      <c r="E243" s="28">
        <v>1231.5</v>
      </c>
      <c r="F243" s="28">
        <v>1350.6</v>
      </c>
      <c r="G243" s="29">
        <v>1.5871999999999999</v>
      </c>
    </row>
    <row r="244" spans="1:7" x14ac:dyDescent="0.2">
      <c r="A244" s="64" t="s">
        <v>80</v>
      </c>
      <c r="B244" s="20">
        <v>600</v>
      </c>
      <c r="C244" s="26">
        <v>800</v>
      </c>
      <c r="D244" s="27">
        <v>1.19</v>
      </c>
      <c r="E244" s="28">
        <v>1275.4000000000001</v>
      </c>
      <c r="F244" s="28">
        <v>1407.6</v>
      </c>
      <c r="G244" s="29">
        <v>1.6343000000000001</v>
      </c>
    </row>
    <row r="245" spans="1:7" x14ac:dyDescent="0.2">
      <c r="A245" s="64" t="s">
        <v>80</v>
      </c>
      <c r="B245" s="20">
        <v>600</v>
      </c>
      <c r="C245" s="26">
        <v>900</v>
      </c>
      <c r="D245" s="27">
        <v>1.302</v>
      </c>
      <c r="E245" s="28">
        <v>1318.4</v>
      </c>
      <c r="F245" s="28">
        <v>1462.9</v>
      </c>
      <c r="G245" s="29">
        <v>1.6766000000000001</v>
      </c>
    </row>
    <row r="246" spans="1:7" x14ac:dyDescent="0.2">
      <c r="A246" s="64" t="s">
        <v>80</v>
      </c>
      <c r="B246" s="20">
        <v>600</v>
      </c>
      <c r="C246" s="26">
        <v>1000</v>
      </c>
      <c r="D246" s="27">
        <v>1.411</v>
      </c>
      <c r="E246" s="28">
        <v>1361.2</v>
      </c>
      <c r="F246" s="28">
        <v>1517.8</v>
      </c>
      <c r="G246" s="29">
        <v>1.7155</v>
      </c>
    </row>
    <row r="247" spans="1:7" x14ac:dyDescent="0.2">
      <c r="A247" s="64" t="s">
        <v>80</v>
      </c>
      <c r="B247" s="20">
        <v>600</v>
      </c>
      <c r="C247" s="26">
        <v>1100</v>
      </c>
      <c r="D247" s="27">
        <v>1.5169999999999999</v>
      </c>
      <c r="E247" s="28">
        <v>1404.2</v>
      </c>
      <c r="F247" s="28">
        <v>1572.7</v>
      </c>
      <c r="G247" s="29">
        <v>1.7519</v>
      </c>
    </row>
    <row r="248" spans="1:7" x14ac:dyDescent="0.2">
      <c r="A248" s="64" t="s">
        <v>80</v>
      </c>
      <c r="B248" s="20">
        <v>600</v>
      </c>
      <c r="C248" s="26">
        <v>1200</v>
      </c>
      <c r="D248" s="27">
        <v>1.6220000000000001</v>
      </c>
      <c r="E248" s="28">
        <v>1447.7</v>
      </c>
      <c r="F248" s="28">
        <v>1627.8</v>
      </c>
      <c r="G248" s="29">
        <v>1.7861</v>
      </c>
    </row>
    <row r="249" spans="1:7" x14ac:dyDescent="0.2">
      <c r="A249" s="64" t="s">
        <v>80</v>
      </c>
      <c r="B249" s="20">
        <v>600</v>
      </c>
      <c r="C249" s="26">
        <v>1300</v>
      </c>
      <c r="D249" s="27">
        <v>1.726</v>
      </c>
      <c r="E249" s="28">
        <v>1491.7</v>
      </c>
      <c r="F249" s="28">
        <v>1683.4</v>
      </c>
      <c r="G249" s="29">
        <v>1.8186</v>
      </c>
    </row>
    <row r="250" spans="1:7" x14ac:dyDescent="0.2">
      <c r="A250" s="65" t="s">
        <v>80</v>
      </c>
      <c r="B250" s="21">
        <v>600</v>
      </c>
      <c r="C250" s="30">
        <v>1400</v>
      </c>
      <c r="D250" s="31">
        <v>1.829</v>
      </c>
      <c r="E250" s="32">
        <v>1536.5</v>
      </c>
      <c r="F250" s="32">
        <v>1739.5</v>
      </c>
      <c r="G250" s="33">
        <v>1.8496999999999999</v>
      </c>
    </row>
    <row r="251" spans="1:7" x14ac:dyDescent="0.2">
      <c r="A251" s="71">
        <v>700</v>
      </c>
      <c r="B251" s="17">
        <v>700</v>
      </c>
      <c r="C251" s="26">
        <v>503.2</v>
      </c>
      <c r="D251" s="26">
        <v>0.65600000000000003</v>
      </c>
      <c r="E251" s="26">
        <v>1117</v>
      </c>
      <c r="F251" s="26">
        <v>1202</v>
      </c>
      <c r="G251" s="34">
        <v>1.4305000000000001</v>
      </c>
    </row>
    <row r="252" spans="1:7" x14ac:dyDescent="0.2">
      <c r="A252" s="71" t="s">
        <v>80</v>
      </c>
      <c r="B252" s="17">
        <v>700</v>
      </c>
      <c r="C252" s="26">
        <v>550</v>
      </c>
      <c r="D252" s="26">
        <v>0.72799999999999998</v>
      </c>
      <c r="E252" s="26">
        <v>1149</v>
      </c>
      <c r="F252" s="26">
        <v>1243.2</v>
      </c>
      <c r="G252" s="34">
        <v>1.4722999999999999</v>
      </c>
    </row>
    <row r="253" spans="1:7" x14ac:dyDescent="0.2">
      <c r="A253" s="71" t="s">
        <v>80</v>
      </c>
      <c r="B253" s="17">
        <v>700</v>
      </c>
      <c r="C253" s="26">
        <v>600</v>
      </c>
      <c r="D253" s="26">
        <v>0.79300000000000004</v>
      </c>
      <c r="E253" s="26">
        <v>1177.5</v>
      </c>
      <c r="F253" s="26">
        <v>1280.2</v>
      </c>
      <c r="G253" s="34">
        <v>1.5081</v>
      </c>
    </row>
    <row r="254" spans="1:7" x14ac:dyDescent="0.2">
      <c r="A254" s="71" t="s">
        <v>80</v>
      </c>
      <c r="B254" s="17">
        <v>700</v>
      </c>
      <c r="C254" s="26">
        <v>700</v>
      </c>
      <c r="D254" s="26">
        <v>0.90700000000000003</v>
      </c>
      <c r="E254" s="26">
        <v>1226.9000000000001</v>
      </c>
      <c r="F254" s="26">
        <v>1344.4</v>
      </c>
      <c r="G254" s="34">
        <v>1.5661</v>
      </c>
    </row>
    <row r="255" spans="1:7" x14ac:dyDescent="0.2">
      <c r="A255" s="71" t="s">
        <v>80</v>
      </c>
      <c r="B255" s="17">
        <v>700</v>
      </c>
      <c r="C255" s="26">
        <v>800</v>
      </c>
      <c r="D255" s="26">
        <v>1.0109999999999999</v>
      </c>
      <c r="E255" s="26">
        <v>1272</v>
      </c>
      <c r="F255" s="26">
        <v>1402.9</v>
      </c>
      <c r="G255" s="34">
        <v>1.6145</v>
      </c>
    </row>
    <row r="256" spans="1:7" x14ac:dyDescent="0.2">
      <c r="A256" s="71" t="s">
        <v>80</v>
      </c>
      <c r="B256" s="17">
        <v>700</v>
      </c>
      <c r="C256" s="26">
        <v>900</v>
      </c>
      <c r="D256" s="26">
        <v>1.109</v>
      </c>
      <c r="E256" s="26">
        <v>1315.6</v>
      </c>
      <c r="F256" s="26">
        <v>1459.3</v>
      </c>
      <c r="G256" s="34">
        <v>1.6576</v>
      </c>
    </row>
    <row r="257" spans="1:7" x14ac:dyDescent="0.2">
      <c r="A257" s="71" t="s">
        <v>80</v>
      </c>
      <c r="B257" s="17">
        <v>700</v>
      </c>
      <c r="C257" s="26">
        <v>1000</v>
      </c>
      <c r="D257" s="26">
        <v>1.204</v>
      </c>
      <c r="E257" s="26">
        <v>1358.9</v>
      </c>
      <c r="F257" s="26">
        <v>1514.9</v>
      </c>
      <c r="G257" s="34">
        <v>1.6970000000000001</v>
      </c>
    </row>
    <row r="258" spans="1:7" x14ac:dyDescent="0.2">
      <c r="A258" s="71" t="s">
        <v>80</v>
      </c>
      <c r="B258" s="17">
        <v>700</v>
      </c>
      <c r="C258" s="26">
        <v>1100</v>
      </c>
      <c r="D258" s="26">
        <v>1.296</v>
      </c>
      <c r="E258" s="26">
        <v>1402.4</v>
      </c>
      <c r="F258" s="26">
        <v>1570.2</v>
      </c>
      <c r="G258" s="34">
        <v>1.7337</v>
      </c>
    </row>
    <row r="259" spans="1:7" x14ac:dyDescent="0.2">
      <c r="A259" s="71" t="s">
        <v>80</v>
      </c>
      <c r="B259" s="17">
        <v>700</v>
      </c>
      <c r="C259" s="26">
        <v>1200</v>
      </c>
      <c r="D259" s="26">
        <v>1.387</v>
      </c>
      <c r="E259" s="26">
        <v>1446.2</v>
      </c>
      <c r="F259" s="26">
        <v>1625.8</v>
      </c>
      <c r="G259" s="34">
        <v>1.7682</v>
      </c>
    </row>
    <row r="260" spans="1:7" x14ac:dyDescent="0.2">
      <c r="A260" s="71" t="s">
        <v>80</v>
      </c>
      <c r="B260" s="17">
        <v>700</v>
      </c>
      <c r="C260" s="26">
        <v>1300</v>
      </c>
      <c r="D260" s="26">
        <v>1.476</v>
      </c>
      <c r="E260" s="26">
        <v>1490.4</v>
      </c>
      <c r="F260" s="26">
        <v>1681.7</v>
      </c>
      <c r="G260" s="34">
        <v>1.8008999999999999</v>
      </c>
    </row>
    <row r="261" spans="1:7" x14ac:dyDescent="0.2">
      <c r="A261" s="71" t="s">
        <v>80</v>
      </c>
      <c r="B261" s="17">
        <v>700</v>
      </c>
      <c r="C261" s="26">
        <v>1400</v>
      </c>
      <c r="D261" s="26">
        <v>1.5649999999999999</v>
      </c>
      <c r="E261" s="26">
        <v>1535.3</v>
      </c>
      <c r="F261" s="26">
        <v>1738.1</v>
      </c>
      <c r="G261" s="34">
        <v>1.8321000000000001</v>
      </c>
    </row>
    <row r="262" spans="1:7" x14ac:dyDescent="0.2">
      <c r="A262" s="63">
        <v>800</v>
      </c>
      <c r="B262" s="19">
        <v>800</v>
      </c>
      <c r="C262" s="22">
        <v>518.29999999999995</v>
      </c>
      <c r="D262" s="23">
        <v>0.56899999999999995</v>
      </c>
      <c r="E262" s="24">
        <v>1115</v>
      </c>
      <c r="F262" s="24">
        <v>1199.3</v>
      </c>
      <c r="G262" s="25">
        <v>1.4159999999999999</v>
      </c>
    </row>
    <row r="263" spans="1:7" x14ac:dyDescent="0.2">
      <c r="A263" s="64" t="s">
        <v>80</v>
      </c>
      <c r="B263" s="20">
        <v>800</v>
      </c>
      <c r="C263" s="26">
        <v>550</v>
      </c>
      <c r="D263" s="27">
        <v>0.61499999999999999</v>
      </c>
      <c r="E263" s="28">
        <v>1138.8</v>
      </c>
      <c r="F263" s="28">
        <v>1229.9000000000001</v>
      </c>
      <c r="G263" s="29">
        <v>1.4469000000000001</v>
      </c>
    </row>
    <row r="264" spans="1:7" x14ac:dyDescent="0.2">
      <c r="A264" s="64" t="s">
        <v>80</v>
      </c>
      <c r="B264" s="20">
        <v>800</v>
      </c>
      <c r="C264" s="26">
        <v>600</v>
      </c>
      <c r="D264" s="27">
        <v>0.67700000000000005</v>
      </c>
      <c r="E264" s="28">
        <v>1170.0999999999999</v>
      </c>
      <c r="F264" s="28">
        <v>1270.4000000000001</v>
      </c>
      <c r="G264" s="29">
        <v>1.4861</v>
      </c>
    </row>
    <row r="265" spans="1:7" x14ac:dyDescent="0.2">
      <c r="A265" s="64" t="s">
        <v>80</v>
      </c>
      <c r="B265" s="20">
        <v>800</v>
      </c>
      <c r="C265" s="26">
        <v>650</v>
      </c>
      <c r="D265" s="27">
        <v>0.73199999999999998</v>
      </c>
      <c r="E265" s="28">
        <v>1197.2</v>
      </c>
      <c r="F265" s="28">
        <v>1305.5999999999999</v>
      </c>
      <c r="G265" s="29">
        <v>1.5185999999999999</v>
      </c>
    </row>
    <row r="266" spans="1:7" x14ac:dyDescent="0.2">
      <c r="A266" s="64" t="s">
        <v>80</v>
      </c>
      <c r="B266" s="20">
        <v>800</v>
      </c>
      <c r="C266" s="26">
        <v>700</v>
      </c>
      <c r="D266" s="27">
        <v>0.78300000000000003</v>
      </c>
      <c r="E266" s="28">
        <v>1222.0999999999999</v>
      </c>
      <c r="F266" s="28">
        <v>1338</v>
      </c>
      <c r="G266" s="29">
        <v>1.5470999999999999</v>
      </c>
    </row>
    <row r="267" spans="1:7" x14ac:dyDescent="0.2">
      <c r="A267" s="64" t="s">
        <v>80</v>
      </c>
      <c r="B267" s="20">
        <v>800</v>
      </c>
      <c r="C267" s="26">
        <v>800</v>
      </c>
      <c r="D267" s="27">
        <v>0.876</v>
      </c>
      <c r="E267" s="28">
        <v>1268.5</v>
      </c>
      <c r="F267" s="28">
        <v>1398.2</v>
      </c>
      <c r="G267" s="29">
        <v>1.5969</v>
      </c>
    </row>
    <row r="268" spans="1:7" x14ac:dyDescent="0.2">
      <c r="A268" s="64" t="s">
        <v>80</v>
      </c>
      <c r="B268" s="20">
        <v>800</v>
      </c>
      <c r="C268" s="26">
        <v>900</v>
      </c>
      <c r="D268" s="27">
        <v>0.96399999999999997</v>
      </c>
      <c r="E268" s="28">
        <v>1312.9</v>
      </c>
      <c r="F268" s="28">
        <v>1455.6</v>
      </c>
      <c r="G268" s="29">
        <v>1.6408</v>
      </c>
    </row>
    <row r="269" spans="1:7" x14ac:dyDescent="0.2">
      <c r="A269" s="64" t="s">
        <v>80</v>
      </c>
      <c r="B269" s="20">
        <v>800</v>
      </c>
      <c r="C269" s="26">
        <v>1000</v>
      </c>
      <c r="D269" s="27">
        <v>1.048</v>
      </c>
      <c r="E269" s="28">
        <v>1356.7</v>
      </c>
      <c r="F269" s="28">
        <v>1511.9</v>
      </c>
      <c r="G269" s="29">
        <v>1.6807000000000001</v>
      </c>
    </row>
    <row r="270" spans="1:7" x14ac:dyDescent="0.2">
      <c r="A270" s="64" t="s">
        <v>80</v>
      </c>
      <c r="B270" s="20">
        <v>800</v>
      </c>
      <c r="C270" s="26">
        <v>1100</v>
      </c>
      <c r="D270" s="27">
        <v>1.1299999999999999</v>
      </c>
      <c r="E270" s="28">
        <v>1400.5</v>
      </c>
      <c r="F270" s="28">
        <v>1567.8</v>
      </c>
      <c r="G270" s="29">
        <v>1.7178</v>
      </c>
    </row>
    <row r="271" spans="1:7" x14ac:dyDescent="0.2">
      <c r="A271" s="64" t="s">
        <v>80</v>
      </c>
      <c r="B271" s="20">
        <v>800</v>
      </c>
      <c r="C271" s="26">
        <v>1200</v>
      </c>
      <c r="D271" s="27">
        <v>1.21</v>
      </c>
      <c r="E271" s="28">
        <v>1444.6</v>
      </c>
      <c r="F271" s="28">
        <v>1623.8</v>
      </c>
      <c r="G271" s="29">
        <v>1.7525999999999999</v>
      </c>
    </row>
    <row r="272" spans="1:7" x14ac:dyDescent="0.2">
      <c r="A272" s="64" t="s">
        <v>80</v>
      </c>
      <c r="B272" s="20">
        <v>800</v>
      </c>
      <c r="C272" s="26">
        <v>1300</v>
      </c>
      <c r="D272" s="27">
        <v>1.2889999999999999</v>
      </c>
      <c r="E272" s="28">
        <v>1489.1</v>
      </c>
      <c r="F272" s="28">
        <v>1680</v>
      </c>
      <c r="G272" s="29">
        <v>1.7854000000000001</v>
      </c>
    </row>
    <row r="273" spans="1:7" x14ac:dyDescent="0.2">
      <c r="A273" s="65" t="s">
        <v>80</v>
      </c>
      <c r="B273" s="21">
        <v>800</v>
      </c>
      <c r="C273" s="30">
        <v>1400</v>
      </c>
      <c r="D273" s="31">
        <v>1.367</v>
      </c>
      <c r="E273" s="32">
        <v>1534.2</v>
      </c>
      <c r="F273" s="32">
        <v>1736.6</v>
      </c>
      <c r="G273" s="33">
        <v>1.8167</v>
      </c>
    </row>
    <row r="274" spans="1:7" x14ac:dyDescent="0.2">
      <c r="A274" s="71">
        <v>900</v>
      </c>
      <c r="B274" s="17">
        <v>900</v>
      </c>
      <c r="C274" s="26">
        <v>532.1</v>
      </c>
      <c r="D274" s="26">
        <v>0.501</v>
      </c>
      <c r="E274" s="26">
        <v>1112.5999999999999</v>
      </c>
      <c r="F274" s="26">
        <v>1196</v>
      </c>
      <c r="G274" s="34">
        <v>1.4027000000000001</v>
      </c>
    </row>
    <row r="275" spans="1:7" x14ac:dyDescent="0.2">
      <c r="A275" s="71" t="s">
        <v>80</v>
      </c>
      <c r="B275" s="17">
        <v>900</v>
      </c>
      <c r="C275" s="26">
        <v>550</v>
      </c>
      <c r="D275" s="26">
        <v>0.52700000000000002</v>
      </c>
      <c r="E275" s="26">
        <v>1127.5</v>
      </c>
      <c r="F275" s="26">
        <v>1215.2</v>
      </c>
      <c r="G275" s="34">
        <v>1.4218999999999999</v>
      </c>
    </row>
    <row r="276" spans="1:7" x14ac:dyDescent="0.2">
      <c r="A276" s="71" t="s">
        <v>80</v>
      </c>
      <c r="B276" s="17">
        <v>900</v>
      </c>
      <c r="C276" s="26">
        <v>600</v>
      </c>
      <c r="D276" s="26">
        <v>0.58699999999999997</v>
      </c>
      <c r="E276" s="26">
        <v>1162.2</v>
      </c>
      <c r="F276" s="26">
        <v>1260</v>
      </c>
      <c r="G276" s="34">
        <v>1.4652000000000001</v>
      </c>
    </row>
    <row r="277" spans="1:7" x14ac:dyDescent="0.2">
      <c r="A277" s="71" t="s">
        <v>80</v>
      </c>
      <c r="B277" s="17">
        <v>900</v>
      </c>
      <c r="C277" s="26">
        <v>650</v>
      </c>
      <c r="D277" s="26">
        <v>0.63900000000000001</v>
      </c>
      <c r="E277" s="26">
        <v>1191.0999999999999</v>
      </c>
      <c r="F277" s="26">
        <v>1297.5</v>
      </c>
      <c r="G277" s="34">
        <v>1.4999</v>
      </c>
    </row>
    <row r="278" spans="1:7" x14ac:dyDescent="0.2">
      <c r="A278" s="71" t="s">
        <v>80</v>
      </c>
      <c r="B278" s="17">
        <v>900</v>
      </c>
      <c r="C278" s="26">
        <v>700</v>
      </c>
      <c r="D278" s="26">
        <v>0.68600000000000005</v>
      </c>
      <c r="E278" s="26">
        <v>1217.0999999999999</v>
      </c>
      <c r="F278" s="26">
        <v>1331.4</v>
      </c>
      <c r="G278" s="34">
        <v>1.5297000000000001</v>
      </c>
    </row>
    <row r="279" spans="1:7" x14ac:dyDescent="0.2">
      <c r="A279" s="71" t="s">
        <v>80</v>
      </c>
      <c r="B279" s="17">
        <v>900</v>
      </c>
      <c r="C279" s="26">
        <v>800</v>
      </c>
      <c r="D279" s="26">
        <v>0.77200000000000002</v>
      </c>
      <c r="E279" s="26">
        <v>1264.9000000000001</v>
      </c>
      <c r="F279" s="26">
        <v>1393.4</v>
      </c>
      <c r="G279" s="34">
        <v>1.581</v>
      </c>
    </row>
    <row r="280" spans="1:7" x14ac:dyDescent="0.2">
      <c r="A280" s="71" t="s">
        <v>80</v>
      </c>
      <c r="B280" s="17">
        <v>900</v>
      </c>
      <c r="C280" s="26">
        <v>900</v>
      </c>
      <c r="D280" s="26">
        <v>0.85099999999999998</v>
      </c>
      <c r="E280" s="26">
        <v>1310.0999999999999</v>
      </c>
      <c r="F280" s="26">
        <v>1451.9</v>
      </c>
      <c r="G280" s="34">
        <v>1.6256999999999999</v>
      </c>
    </row>
    <row r="281" spans="1:7" x14ac:dyDescent="0.2">
      <c r="A281" s="71" t="s">
        <v>80</v>
      </c>
      <c r="B281" s="17">
        <v>900</v>
      </c>
      <c r="C281" s="26">
        <v>1000</v>
      </c>
      <c r="D281" s="26">
        <v>0.92700000000000005</v>
      </c>
      <c r="E281" s="26">
        <v>1354.5</v>
      </c>
      <c r="F281" s="26">
        <v>1508.9</v>
      </c>
      <c r="G281" s="34">
        <v>1.6661999999999999</v>
      </c>
    </row>
    <row r="282" spans="1:7" x14ac:dyDescent="0.2">
      <c r="A282" s="71" t="s">
        <v>80</v>
      </c>
      <c r="B282" s="17">
        <v>900</v>
      </c>
      <c r="C282" s="26">
        <v>1100</v>
      </c>
      <c r="D282" s="26">
        <v>1.0009999999999999</v>
      </c>
      <c r="E282" s="26">
        <v>1398.7</v>
      </c>
      <c r="F282" s="26">
        <v>1565.4</v>
      </c>
      <c r="G282" s="34">
        <v>1.7036</v>
      </c>
    </row>
    <row r="283" spans="1:7" x14ac:dyDescent="0.2">
      <c r="A283" s="71" t="s">
        <v>80</v>
      </c>
      <c r="B283" s="17">
        <v>900</v>
      </c>
      <c r="C283" s="26">
        <v>1200</v>
      </c>
      <c r="D283" s="26">
        <v>1.073</v>
      </c>
      <c r="E283" s="26">
        <v>1443</v>
      </c>
      <c r="F283" s="26">
        <v>1621.7</v>
      </c>
      <c r="G283" s="34">
        <v>1.7385999999999999</v>
      </c>
    </row>
    <row r="284" spans="1:7" x14ac:dyDescent="0.2">
      <c r="A284" s="71" t="s">
        <v>80</v>
      </c>
      <c r="B284" s="17">
        <v>900</v>
      </c>
      <c r="C284" s="26">
        <v>1300</v>
      </c>
      <c r="D284" s="26">
        <v>1.1439999999999999</v>
      </c>
      <c r="E284" s="26">
        <v>1487.8</v>
      </c>
      <c r="F284" s="26">
        <v>1687.3</v>
      </c>
      <c r="G284" s="34">
        <v>1.7717000000000001</v>
      </c>
    </row>
    <row r="285" spans="1:7" x14ac:dyDescent="0.2">
      <c r="A285" s="71" t="s">
        <v>80</v>
      </c>
      <c r="B285" s="17">
        <v>900</v>
      </c>
      <c r="C285" s="26">
        <v>1400</v>
      </c>
      <c r="D285" s="26">
        <v>1.214</v>
      </c>
      <c r="E285" s="26">
        <v>1533</v>
      </c>
      <c r="F285" s="26">
        <v>1735.1</v>
      </c>
      <c r="G285" s="34">
        <v>1.8030999999999999</v>
      </c>
    </row>
    <row r="286" spans="1:7" x14ac:dyDescent="0.2">
      <c r="A286" s="63">
        <v>1000</v>
      </c>
      <c r="B286" s="19">
        <v>1000</v>
      </c>
      <c r="C286" s="22">
        <v>544.70000000000005</v>
      </c>
      <c r="D286" s="23">
        <v>0.44600000000000001</v>
      </c>
      <c r="E286" s="24">
        <v>1109</v>
      </c>
      <c r="F286" s="24">
        <v>1192.4000000000001</v>
      </c>
      <c r="G286" s="25">
        <v>1.3903000000000001</v>
      </c>
    </row>
    <row r="287" spans="1:7" x14ac:dyDescent="0.2">
      <c r="A287" s="64" t="s">
        <v>80</v>
      </c>
      <c r="B287" s="20">
        <v>1000</v>
      </c>
      <c r="C287" s="26">
        <v>600</v>
      </c>
      <c r="D287" s="27">
        <v>0.51400000000000001</v>
      </c>
      <c r="E287" s="28">
        <v>1153.7</v>
      </c>
      <c r="F287" s="28">
        <v>1248.8</v>
      </c>
      <c r="G287" s="29">
        <v>1.4450000000000001</v>
      </c>
    </row>
    <row r="288" spans="1:7" x14ac:dyDescent="0.2">
      <c r="A288" s="64" t="s">
        <v>80</v>
      </c>
      <c r="B288" s="20">
        <v>1000</v>
      </c>
      <c r="C288" s="26">
        <v>650</v>
      </c>
      <c r="D288" s="27">
        <v>0.56399999999999995</v>
      </c>
      <c r="E288" s="28">
        <v>1184.7</v>
      </c>
      <c r="F288" s="28">
        <v>1289.0999999999999</v>
      </c>
      <c r="G288" s="29">
        <v>1.4822</v>
      </c>
    </row>
    <row r="289" spans="1:7" x14ac:dyDescent="0.2">
      <c r="A289" s="64" t="s">
        <v>80</v>
      </c>
      <c r="B289" s="20">
        <v>1000</v>
      </c>
      <c r="C289" s="26">
        <v>700</v>
      </c>
      <c r="D289" s="27">
        <v>0.60799999999999998</v>
      </c>
      <c r="E289" s="28">
        <v>1212</v>
      </c>
      <c r="F289" s="28">
        <v>1324.6</v>
      </c>
      <c r="G289" s="29">
        <v>1.5135000000000001</v>
      </c>
    </row>
    <row r="290" spans="1:7" x14ac:dyDescent="0.2">
      <c r="A290" s="64" t="s">
        <v>80</v>
      </c>
      <c r="B290" s="20">
        <v>1000</v>
      </c>
      <c r="C290" s="26">
        <v>800</v>
      </c>
      <c r="D290" s="27">
        <v>0.68799999999999994</v>
      </c>
      <c r="E290" s="28">
        <v>1261.2</v>
      </c>
      <c r="F290" s="28">
        <v>1388.5</v>
      </c>
      <c r="G290" s="29">
        <v>1.5665</v>
      </c>
    </row>
    <row r="291" spans="1:7" x14ac:dyDescent="0.2">
      <c r="A291" s="64" t="s">
        <v>80</v>
      </c>
      <c r="B291" s="20">
        <v>1000</v>
      </c>
      <c r="C291" s="26">
        <v>900</v>
      </c>
      <c r="D291" s="27">
        <v>0.76100000000000001</v>
      </c>
      <c r="E291" s="28">
        <v>1307.3</v>
      </c>
      <c r="F291" s="28">
        <v>1448.1</v>
      </c>
      <c r="G291" s="29">
        <v>1.6120000000000001</v>
      </c>
    </row>
    <row r="292" spans="1:7" x14ac:dyDescent="0.2">
      <c r="A292" s="64" t="s">
        <v>80</v>
      </c>
      <c r="B292" s="20">
        <v>1000</v>
      </c>
      <c r="C292" s="26">
        <v>1000</v>
      </c>
      <c r="D292" s="27">
        <v>0.83099999999999996</v>
      </c>
      <c r="E292" s="28">
        <v>1352.2</v>
      </c>
      <c r="F292" s="28">
        <v>1505.9</v>
      </c>
      <c r="G292" s="29">
        <v>1.653</v>
      </c>
    </row>
    <row r="293" spans="1:7" x14ac:dyDescent="0.2">
      <c r="A293" s="64" t="s">
        <v>80</v>
      </c>
      <c r="B293" s="20">
        <v>1000</v>
      </c>
      <c r="C293" s="26">
        <v>1100</v>
      </c>
      <c r="D293" s="27">
        <v>0.89800000000000002</v>
      </c>
      <c r="E293" s="28">
        <v>1396.8</v>
      </c>
      <c r="F293" s="28">
        <v>1562.9</v>
      </c>
      <c r="G293" s="29">
        <v>1.6908000000000001</v>
      </c>
    </row>
    <row r="294" spans="1:7" x14ac:dyDescent="0.2">
      <c r="A294" s="64" t="s">
        <v>80</v>
      </c>
      <c r="B294" s="20">
        <v>1000</v>
      </c>
      <c r="C294" s="26">
        <v>1200</v>
      </c>
      <c r="D294" s="27">
        <v>0.96299999999999997</v>
      </c>
      <c r="E294" s="28">
        <v>1441.5</v>
      </c>
      <c r="F294" s="28">
        <v>1619.7</v>
      </c>
      <c r="G294" s="29">
        <v>1.7261</v>
      </c>
    </row>
    <row r="295" spans="1:7" x14ac:dyDescent="0.2">
      <c r="A295" s="64" t="s">
        <v>80</v>
      </c>
      <c r="B295" s="20">
        <v>1000</v>
      </c>
      <c r="C295" s="26">
        <v>1300</v>
      </c>
      <c r="D295" s="27">
        <v>1.0269999999999999</v>
      </c>
      <c r="E295" s="28">
        <v>1486.5</v>
      </c>
      <c r="F295" s="28">
        <v>1676.5</v>
      </c>
      <c r="G295" s="29">
        <v>1.7593000000000001</v>
      </c>
    </row>
    <row r="296" spans="1:7" x14ac:dyDescent="0.2">
      <c r="A296" s="64" t="s">
        <v>80</v>
      </c>
      <c r="B296" s="20">
        <v>1000</v>
      </c>
      <c r="C296" s="26">
        <v>1400</v>
      </c>
      <c r="D296" s="27">
        <v>1.091</v>
      </c>
      <c r="E296" s="28">
        <v>1531.9</v>
      </c>
      <c r="F296" s="28">
        <v>1733.7</v>
      </c>
      <c r="G296" s="29">
        <v>1.7908999999999999</v>
      </c>
    </row>
    <row r="297" spans="1:7" x14ac:dyDescent="0.2">
      <c r="A297" s="65" t="s">
        <v>80</v>
      </c>
      <c r="B297" s="21">
        <v>1000</v>
      </c>
      <c r="C297" s="30">
        <v>1600</v>
      </c>
      <c r="D297" s="31">
        <v>1.2150000000000001</v>
      </c>
      <c r="E297" s="32">
        <v>1624.4</v>
      </c>
      <c r="F297" s="32">
        <v>1849.3</v>
      </c>
      <c r="G297" s="33">
        <v>1.8499000000000001</v>
      </c>
    </row>
    <row r="298" spans="1:7" x14ac:dyDescent="0.2">
      <c r="A298" s="71">
        <v>1200</v>
      </c>
      <c r="B298" s="17">
        <v>1200</v>
      </c>
      <c r="C298" s="26">
        <v>567.4</v>
      </c>
      <c r="D298" s="26">
        <v>0.36199999999999999</v>
      </c>
      <c r="E298" s="26">
        <v>1103.5</v>
      </c>
      <c r="F298" s="26">
        <v>1183.9000000000001</v>
      </c>
      <c r="G298" s="34">
        <v>1.3673</v>
      </c>
    </row>
    <row r="299" spans="1:7" x14ac:dyDescent="0.2">
      <c r="A299" s="71" t="s">
        <v>80</v>
      </c>
      <c r="B299" s="17">
        <v>1200</v>
      </c>
      <c r="C299" s="26">
        <v>600</v>
      </c>
      <c r="D299" s="26">
        <v>0.40200000000000002</v>
      </c>
      <c r="E299" s="26">
        <v>1134.4000000000001</v>
      </c>
      <c r="F299" s="26">
        <v>1223.5999999999999</v>
      </c>
      <c r="G299" s="34">
        <v>1.4054</v>
      </c>
    </row>
    <row r="300" spans="1:7" x14ac:dyDescent="0.2">
      <c r="A300" s="71" t="s">
        <v>80</v>
      </c>
      <c r="B300" s="17">
        <v>1200</v>
      </c>
      <c r="C300" s="26">
        <v>650</v>
      </c>
      <c r="D300" s="26">
        <v>0.45</v>
      </c>
      <c r="E300" s="26">
        <v>1170.9000000000001</v>
      </c>
      <c r="F300" s="26">
        <v>1270.8</v>
      </c>
      <c r="G300" s="34">
        <v>1.4490000000000001</v>
      </c>
    </row>
    <row r="301" spans="1:7" x14ac:dyDescent="0.2">
      <c r="A301" s="71" t="s">
        <v>80</v>
      </c>
      <c r="B301" s="17">
        <v>1200</v>
      </c>
      <c r="C301" s="26">
        <v>700</v>
      </c>
      <c r="D301" s="26">
        <v>0.49099999999999999</v>
      </c>
      <c r="E301" s="26">
        <v>1201.3</v>
      </c>
      <c r="F301" s="26">
        <v>1310.2</v>
      </c>
      <c r="G301" s="34">
        <v>1.4837</v>
      </c>
    </row>
    <row r="302" spans="1:7" x14ac:dyDescent="0.2">
      <c r="A302" s="71" t="s">
        <v>80</v>
      </c>
      <c r="B302" s="17">
        <v>1200</v>
      </c>
      <c r="C302" s="26">
        <v>800</v>
      </c>
      <c r="D302" s="26">
        <v>0.56200000000000006</v>
      </c>
      <c r="E302" s="26">
        <v>1253.7</v>
      </c>
      <c r="F302" s="26">
        <v>1378.4</v>
      </c>
      <c r="G302" s="34">
        <v>1.5402</v>
      </c>
    </row>
    <row r="303" spans="1:7" x14ac:dyDescent="0.2">
      <c r="A303" s="71" t="s">
        <v>80</v>
      </c>
      <c r="B303" s="17">
        <v>1200</v>
      </c>
      <c r="C303" s="26">
        <v>900</v>
      </c>
      <c r="D303" s="26">
        <v>0.626</v>
      </c>
      <c r="E303" s="26">
        <v>1301.5</v>
      </c>
      <c r="F303" s="26">
        <v>1440.4</v>
      </c>
      <c r="G303" s="34">
        <v>1.5875999999999999</v>
      </c>
    </row>
    <row r="304" spans="1:7" x14ac:dyDescent="0.2">
      <c r="A304" s="71" t="s">
        <v>80</v>
      </c>
      <c r="B304" s="17">
        <v>1200</v>
      </c>
      <c r="C304" s="26">
        <v>1000</v>
      </c>
      <c r="D304" s="26">
        <v>0.68500000000000005</v>
      </c>
      <c r="E304" s="26">
        <v>1347.5</v>
      </c>
      <c r="F304" s="26">
        <v>1499.7</v>
      </c>
      <c r="G304" s="34">
        <v>1.6296999999999999</v>
      </c>
    </row>
    <row r="305" spans="1:7" x14ac:dyDescent="0.2">
      <c r="A305" s="71" t="s">
        <v>80</v>
      </c>
      <c r="B305" s="17">
        <v>1200</v>
      </c>
      <c r="C305" s="26">
        <v>1100</v>
      </c>
      <c r="D305" s="26">
        <v>0.74299999999999999</v>
      </c>
      <c r="E305" s="26">
        <v>1393</v>
      </c>
      <c r="F305" s="26">
        <v>1557.9</v>
      </c>
      <c r="G305" s="34">
        <v>1.6681999999999999</v>
      </c>
    </row>
    <row r="306" spans="1:7" x14ac:dyDescent="0.2">
      <c r="A306" s="71" t="s">
        <v>80</v>
      </c>
      <c r="B306" s="17">
        <v>1200</v>
      </c>
      <c r="C306" s="26">
        <v>1200</v>
      </c>
      <c r="D306" s="26">
        <v>0.79800000000000004</v>
      </c>
      <c r="E306" s="26">
        <v>1438.3</v>
      </c>
      <c r="F306" s="26">
        <v>1615.5</v>
      </c>
      <c r="G306" s="34">
        <v>1.704</v>
      </c>
    </row>
    <row r="307" spans="1:7" x14ac:dyDescent="0.2">
      <c r="A307" s="71" t="s">
        <v>80</v>
      </c>
      <c r="B307" s="17">
        <v>1200</v>
      </c>
      <c r="C307" s="26">
        <v>1300</v>
      </c>
      <c r="D307" s="26">
        <v>0.85299999999999998</v>
      </c>
      <c r="E307" s="26">
        <v>1483.8</v>
      </c>
      <c r="F307" s="26">
        <v>1673.1</v>
      </c>
      <c r="G307" s="34">
        <v>1.7377</v>
      </c>
    </row>
    <row r="308" spans="1:7" x14ac:dyDescent="0.2">
      <c r="A308" s="71" t="s">
        <v>80</v>
      </c>
      <c r="B308" s="17">
        <v>1200</v>
      </c>
      <c r="C308" s="26">
        <v>1400</v>
      </c>
      <c r="D308" s="26">
        <v>0.90600000000000003</v>
      </c>
      <c r="E308" s="26">
        <v>1529.6</v>
      </c>
      <c r="F308" s="26">
        <v>1730.7</v>
      </c>
      <c r="G308" s="34">
        <v>1.7696000000000001</v>
      </c>
    </row>
    <row r="309" spans="1:7" x14ac:dyDescent="0.2">
      <c r="A309" s="71" t="s">
        <v>80</v>
      </c>
      <c r="B309" s="17">
        <v>1200</v>
      </c>
      <c r="C309" s="26">
        <v>1600</v>
      </c>
      <c r="D309" s="26">
        <v>1.0109999999999999</v>
      </c>
      <c r="E309" s="26">
        <v>1622.6</v>
      </c>
      <c r="F309" s="26">
        <v>1847.1</v>
      </c>
      <c r="G309" s="34">
        <v>1.829</v>
      </c>
    </row>
    <row r="310" spans="1:7" x14ac:dyDescent="0.2">
      <c r="A310" s="63">
        <v>1400</v>
      </c>
      <c r="B310" s="19">
        <v>1400</v>
      </c>
      <c r="C310" s="22">
        <v>587.20000000000005</v>
      </c>
      <c r="D310" s="23">
        <v>0.30199999999999999</v>
      </c>
      <c r="E310" s="24">
        <v>1096</v>
      </c>
      <c r="F310" s="24">
        <v>1174.0999999999999</v>
      </c>
      <c r="G310" s="25">
        <v>1.3461000000000001</v>
      </c>
    </row>
    <row r="311" spans="1:7" x14ac:dyDescent="0.2">
      <c r="A311" s="64" t="s">
        <v>80</v>
      </c>
      <c r="B311" s="20">
        <v>1400</v>
      </c>
      <c r="C311" s="26">
        <v>600</v>
      </c>
      <c r="D311" s="27">
        <v>0.318</v>
      </c>
      <c r="E311" s="28">
        <v>1110.9000000000001</v>
      </c>
      <c r="F311" s="28">
        <v>1193.0999999999999</v>
      </c>
      <c r="G311" s="29">
        <v>1.3641000000000001</v>
      </c>
    </row>
    <row r="312" spans="1:7" x14ac:dyDescent="0.2">
      <c r="A312" s="64" t="s">
        <v>80</v>
      </c>
      <c r="B312" s="20">
        <v>1400</v>
      </c>
      <c r="C312" s="26">
        <v>650</v>
      </c>
      <c r="D312" s="27">
        <v>0.36699999999999999</v>
      </c>
      <c r="E312" s="28">
        <v>1155.5</v>
      </c>
      <c r="F312" s="28">
        <v>1250.5</v>
      </c>
      <c r="G312" s="29">
        <v>1.4171</v>
      </c>
    </row>
    <row r="313" spans="1:7" x14ac:dyDescent="0.2">
      <c r="A313" s="64" t="s">
        <v>80</v>
      </c>
      <c r="B313" s="20">
        <v>1400</v>
      </c>
      <c r="C313" s="26">
        <v>700</v>
      </c>
      <c r="D313" s="27">
        <v>0.40600000000000003</v>
      </c>
      <c r="E313" s="28">
        <v>1189.5999999999999</v>
      </c>
      <c r="F313" s="28">
        <v>1294.8</v>
      </c>
      <c r="G313" s="29">
        <v>1.4561999999999999</v>
      </c>
    </row>
    <row r="314" spans="1:7" x14ac:dyDescent="0.2">
      <c r="A314" s="64" t="s">
        <v>80</v>
      </c>
      <c r="B314" s="20">
        <v>1400</v>
      </c>
      <c r="C314" s="26">
        <v>800</v>
      </c>
      <c r="D314" s="27">
        <v>0.47099999999999997</v>
      </c>
      <c r="E314" s="28">
        <v>1245.8</v>
      </c>
      <c r="F314" s="28">
        <v>1367.9</v>
      </c>
      <c r="G314" s="29">
        <v>1.5167999999999999</v>
      </c>
    </row>
    <row r="315" spans="1:7" x14ac:dyDescent="0.2">
      <c r="A315" s="64" t="s">
        <v>80</v>
      </c>
      <c r="B315" s="20">
        <v>1400</v>
      </c>
      <c r="C315" s="26">
        <v>900</v>
      </c>
      <c r="D315" s="27">
        <v>0.52900000000000003</v>
      </c>
      <c r="E315" s="28">
        <v>1295.5999999999999</v>
      </c>
      <c r="F315" s="28">
        <v>1432.5</v>
      </c>
      <c r="G315" s="29">
        <v>1.5661</v>
      </c>
    </row>
    <row r="316" spans="1:7" x14ac:dyDescent="0.2">
      <c r="A316" s="64" t="s">
        <v>80</v>
      </c>
      <c r="B316" s="20">
        <v>1400</v>
      </c>
      <c r="C316" s="26">
        <v>1000</v>
      </c>
      <c r="D316" s="27">
        <v>0.58199999999999996</v>
      </c>
      <c r="E316" s="28">
        <v>1342.8</v>
      </c>
      <c r="F316" s="28">
        <v>1493.5</v>
      </c>
      <c r="G316" s="29">
        <v>1.6093999999999999</v>
      </c>
    </row>
    <row r="317" spans="1:7" x14ac:dyDescent="0.2">
      <c r="A317" s="64" t="s">
        <v>80</v>
      </c>
      <c r="B317" s="20">
        <v>1400</v>
      </c>
      <c r="C317" s="26">
        <v>1100</v>
      </c>
      <c r="D317" s="27">
        <v>0.63200000000000001</v>
      </c>
      <c r="E317" s="28">
        <v>1389.1</v>
      </c>
      <c r="F317" s="28">
        <v>1552.8</v>
      </c>
      <c r="G317" s="29">
        <v>1.6487000000000001</v>
      </c>
    </row>
    <row r="318" spans="1:7" x14ac:dyDescent="0.2">
      <c r="A318" s="64" t="s">
        <v>80</v>
      </c>
      <c r="B318" s="20">
        <v>1400</v>
      </c>
      <c r="C318" s="26">
        <v>1200</v>
      </c>
      <c r="D318" s="27">
        <v>0.68100000000000005</v>
      </c>
      <c r="E318" s="28">
        <v>1435.1</v>
      </c>
      <c r="F318" s="28">
        <v>1611.4</v>
      </c>
      <c r="G318" s="29">
        <v>1.6851</v>
      </c>
    </row>
    <row r="319" spans="1:7" x14ac:dyDescent="0.2">
      <c r="A319" s="64" t="s">
        <v>80</v>
      </c>
      <c r="B319" s="20">
        <v>1400</v>
      </c>
      <c r="C319" s="26">
        <v>1300</v>
      </c>
      <c r="D319" s="27">
        <v>0.72799999999999998</v>
      </c>
      <c r="E319" s="28">
        <v>1481.1</v>
      </c>
      <c r="F319" s="28">
        <v>1669.6</v>
      </c>
      <c r="G319" s="29">
        <v>1.7192000000000001</v>
      </c>
    </row>
    <row r="320" spans="1:7" x14ac:dyDescent="0.2">
      <c r="A320" s="64" t="s">
        <v>80</v>
      </c>
      <c r="B320" s="20">
        <v>1400</v>
      </c>
      <c r="C320" s="26">
        <v>1400</v>
      </c>
      <c r="D320" s="27">
        <v>0.77400000000000002</v>
      </c>
      <c r="E320" s="28">
        <v>1527.2</v>
      </c>
      <c r="F320" s="28">
        <v>1727.8</v>
      </c>
      <c r="G320" s="29">
        <v>1.7513000000000001</v>
      </c>
    </row>
    <row r="321" spans="1:7" x14ac:dyDescent="0.2">
      <c r="A321" s="65" t="s">
        <v>80</v>
      </c>
      <c r="B321" s="21">
        <v>1400</v>
      </c>
      <c r="C321" s="30">
        <v>1600</v>
      </c>
      <c r="D321" s="31">
        <v>0.86499999999999999</v>
      </c>
      <c r="E321" s="32">
        <v>1620.8</v>
      </c>
      <c r="F321" s="32">
        <v>1844.8</v>
      </c>
      <c r="G321" s="33">
        <v>1.8110999999999999</v>
      </c>
    </row>
    <row r="322" spans="1:7" x14ac:dyDescent="0.2">
      <c r="A322" s="71">
        <v>1600</v>
      </c>
      <c r="B322" s="17">
        <v>1600</v>
      </c>
      <c r="C322" s="26">
        <v>605.1</v>
      </c>
      <c r="D322" s="26">
        <v>0.255</v>
      </c>
      <c r="E322" s="26">
        <v>1087.4000000000001</v>
      </c>
      <c r="F322" s="26">
        <v>1162.9000000000001</v>
      </c>
      <c r="G322" s="34">
        <v>1.3258000000000001</v>
      </c>
    </row>
    <row r="323" spans="1:7" x14ac:dyDescent="0.2">
      <c r="A323" s="71" t="s">
        <v>80</v>
      </c>
      <c r="B323" s="17">
        <v>1600</v>
      </c>
      <c r="C323" s="26">
        <v>650</v>
      </c>
      <c r="D323" s="26">
        <v>0.30299999999999999</v>
      </c>
      <c r="E323" s="26">
        <v>1137.8</v>
      </c>
      <c r="F323" s="26">
        <v>1227.4000000000001</v>
      </c>
      <c r="G323" s="34">
        <v>1.3852</v>
      </c>
    </row>
    <row r="324" spans="1:7" x14ac:dyDescent="0.2">
      <c r="A324" s="71" t="s">
        <v>80</v>
      </c>
      <c r="B324" s="17">
        <v>1600</v>
      </c>
      <c r="C324" s="26">
        <v>700</v>
      </c>
      <c r="D324" s="26">
        <v>0.34200000000000003</v>
      </c>
      <c r="E324" s="26">
        <v>1177</v>
      </c>
      <c r="F324" s="26">
        <v>1278.0999999999999</v>
      </c>
      <c r="G324" s="34">
        <v>1.4298999999999999</v>
      </c>
    </row>
    <row r="325" spans="1:7" x14ac:dyDescent="0.2">
      <c r="A325" s="71" t="s">
        <v>80</v>
      </c>
      <c r="B325" s="17">
        <v>1600</v>
      </c>
      <c r="C325" s="26">
        <v>800</v>
      </c>
      <c r="D325" s="26">
        <v>0.40300000000000002</v>
      </c>
      <c r="E325" s="26">
        <v>1237.7</v>
      </c>
      <c r="F325" s="26">
        <v>1357</v>
      </c>
      <c r="G325" s="34">
        <v>1.4953000000000001</v>
      </c>
    </row>
    <row r="326" spans="1:7" x14ac:dyDescent="0.2">
      <c r="A326" s="71" t="s">
        <v>80</v>
      </c>
      <c r="B326" s="17">
        <v>1600</v>
      </c>
      <c r="C326" s="26">
        <v>900</v>
      </c>
      <c r="D326" s="26">
        <v>0.46600000000000003</v>
      </c>
      <c r="E326" s="26">
        <v>1289.5</v>
      </c>
      <c r="F326" s="26">
        <v>1424.4</v>
      </c>
      <c r="G326" s="34">
        <v>1.5468</v>
      </c>
    </row>
    <row r="327" spans="1:7" x14ac:dyDescent="0.2">
      <c r="A327" s="71" t="s">
        <v>80</v>
      </c>
      <c r="B327" s="17">
        <v>1600</v>
      </c>
      <c r="C327" s="26">
        <v>1000</v>
      </c>
      <c r="D327" s="26">
        <v>0.504</v>
      </c>
      <c r="E327" s="26">
        <v>1338</v>
      </c>
      <c r="F327" s="26">
        <v>1487.1</v>
      </c>
      <c r="G327" s="34">
        <v>1.5912999999999999</v>
      </c>
    </row>
    <row r="328" spans="1:7" x14ac:dyDescent="0.2">
      <c r="A328" s="71" t="s">
        <v>80</v>
      </c>
      <c r="B328" s="17">
        <v>1600</v>
      </c>
      <c r="C328" s="26">
        <v>1100</v>
      </c>
      <c r="D328" s="26">
        <v>0.54900000000000004</v>
      </c>
      <c r="E328" s="26">
        <v>1385.2</v>
      </c>
      <c r="F328" s="26">
        <v>1547.7</v>
      </c>
      <c r="G328" s="34">
        <v>1.6315</v>
      </c>
    </row>
    <row r="329" spans="1:7" x14ac:dyDescent="0.2">
      <c r="A329" s="71" t="s">
        <v>80</v>
      </c>
      <c r="B329" s="17">
        <v>1600</v>
      </c>
      <c r="C329" s="26">
        <v>1200</v>
      </c>
      <c r="D329" s="26">
        <v>0.59199999999999997</v>
      </c>
      <c r="E329" s="26">
        <v>1431.8</v>
      </c>
      <c r="F329" s="26">
        <v>1607.1</v>
      </c>
      <c r="G329" s="34">
        <v>1.6684000000000001</v>
      </c>
    </row>
    <row r="330" spans="1:7" x14ac:dyDescent="0.2">
      <c r="A330" s="71" t="s">
        <v>80</v>
      </c>
      <c r="B330" s="17">
        <v>1600</v>
      </c>
      <c r="C330" s="26">
        <v>1300</v>
      </c>
      <c r="D330" s="26">
        <v>0.63400000000000001</v>
      </c>
      <c r="E330" s="26">
        <v>1478.3</v>
      </c>
      <c r="F330" s="26">
        <v>1666.1</v>
      </c>
      <c r="G330" s="34">
        <v>1.7029000000000001</v>
      </c>
    </row>
    <row r="331" spans="1:7" x14ac:dyDescent="0.2">
      <c r="A331" s="71" t="s">
        <v>80</v>
      </c>
      <c r="B331" s="17">
        <v>1600</v>
      </c>
      <c r="C331" s="26">
        <v>1400</v>
      </c>
      <c r="D331" s="26">
        <v>0.67500000000000004</v>
      </c>
      <c r="E331" s="26">
        <v>1524.9</v>
      </c>
      <c r="F331" s="26">
        <v>1724.8</v>
      </c>
      <c r="G331" s="34">
        <v>1.7354000000000001</v>
      </c>
    </row>
    <row r="332" spans="1:7" x14ac:dyDescent="0.2">
      <c r="A332" s="71" t="s">
        <v>80</v>
      </c>
      <c r="B332" s="17">
        <v>1600</v>
      </c>
      <c r="C332" s="26">
        <v>1600</v>
      </c>
      <c r="D332" s="26">
        <v>0.755</v>
      </c>
      <c r="E332" s="26">
        <v>1619</v>
      </c>
      <c r="F332" s="26">
        <v>1842.6</v>
      </c>
      <c r="G332" s="34">
        <v>1.7955000000000001</v>
      </c>
    </row>
    <row r="333" spans="1:7" x14ac:dyDescent="0.2">
      <c r="A333" s="72">
        <v>1800</v>
      </c>
      <c r="B333" s="16">
        <v>1800</v>
      </c>
      <c r="C333" s="22">
        <v>621.20000000000005</v>
      </c>
      <c r="D333" s="23">
        <v>0.218</v>
      </c>
      <c r="E333" s="24">
        <v>1077.7</v>
      </c>
      <c r="F333" s="24">
        <v>1150.4000000000001</v>
      </c>
      <c r="G333" s="25">
        <v>1.306</v>
      </c>
    </row>
    <row r="334" spans="1:7" x14ac:dyDescent="0.2">
      <c r="A334" s="71" t="s">
        <v>80</v>
      </c>
      <c r="B334" s="17">
        <v>1800</v>
      </c>
      <c r="C334" s="26">
        <v>650</v>
      </c>
      <c r="D334" s="27">
        <v>0.251</v>
      </c>
      <c r="E334" s="28">
        <v>1117</v>
      </c>
      <c r="F334" s="28">
        <v>1200.4000000000001</v>
      </c>
      <c r="G334" s="29">
        <v>1.3516999999999999</v>
      </c>
    </row>
    <row r="335" spans="1:7" x14ac:dyDescent="0.2">
      <c r="A335" s="71" t="s">
        <v>80</v>
      </c>
      <c r="B335" s="17">
        <v>1800</v>
      </c>
      <c r="C335" s="26">
        <v>700</v>
      </c>
      <c r="D335" s="27">
        <v>0.29099999999999998</v>
      </c>
      <c r="E335" s="28">
        <v>1163.0999999999999</v>
      </c>
      <c r="F335" s="28">
        <v>1259.9000000000001</v>
      </c>
      <c r="G335" s="29">
        <v>1.4041999999999999</v>
      </c>
    </row>
    <row r="336" spans="1:7" x14ac:dyDescent="0.2">
      <c r="A336" s="71" t="s">
        <v>80</v>
      </c>
      <c r="B336" s="17">
        <v>1800</v>
      </c>
      <c r="C336" s="26">
        <v>750</v>
      </c>
      <c r="D336" s="27">
        <v>0.32200000000000001</v>
      </c>
      <c r="E336" s="28">
        <v>1198.5999999999999</v>
      </c>
      <c r="F336" s="28">
        <v>1305.9000000000001</v>
      </c>
      <c r="G336" s="29">
        <v>1.4430000000000001</v>
      </c>
    </row>
    <row r="337" spans="1:7" x14ac:dyDescent="0.2">
      <c r="A337" s="71" t="s">
        <v>80</v>
      </c>
      <c r="B337" s="17">
        <v>1800</v>
      </c>
      <c r="C337" s="26">
        <v>800</v>
      </c>
      <c r="D337" s="27">
        <v>0.35</v>
      </c>
      <c r="E337" s="28">
        <v>1229.0999999999999</v>
      </c>
      <c r="F337" s="28">
        <v>1345.7</v>
      </c>
      <c r="G337" s="29">
        <v>1.4753000000000001</v>
      </c>
    </row>
    <row r="338" spans="1:7" x14ac:dyDescent="0.2">
      <c r="A338" s="71" t="s">
        <v>80</v>
      </c>
      <c r="B338" s="17">
        <v>1800</v>
      </c>
      <c r="C338" s="26">
        <v>900</v>
      </c>
      <c r="D338" s="27">
        <v>0.39900000000000002</v>
      </c>
      <c r="E338" s="28">
        <v>1283.2</v>
      </c>
      <c r="F338" s="28">
        <v>1416.1</v>
      </c>
      <c r="G338" s="29">
        <v>1.5290999999999999</v>
      </c>
    </row>
    <row r="339" spans="1:7" x14ac:dyDescent="0.2">
      <c r="A339" s="71" t="s">
        <v>80</v>
      </c>
      <c r="B339" s="17">
        <v>1800</v>
      </c>
      <c r="C339" s="26">
        <v>1000</v>
      </c>
      <c r="D339" s="27">
        <v>0.443</v>
      </c>
      <c r="E339" s="28">
        <v>1333.1</v>
      </c>
      <c r="F339" s="28">
        <v>1480.7</v>
      </c>
      <c r="G339" s="29">
        <v>1.5749</v>
      </c>
    </row>
    <row r="340" spans="1:7" x14ac:dyDescent="0.2">
      <c r="A340" s="71" t="s">
        <v>80</v>
      </c>
      <c r="B340" s="17">
        <v>1800</v>
      </c>
      <c r="C340" s="26">
        <v>1100</v>
      </c>
      <c r="D340" s="27">
        <v>0.48399999999999999</v>
      </c>
      <c r="E340" s="28">
        <v>1381.2</v>
      </c>
      <c r="F340" s="28">
        <v>1542.5</v>
      </c>
      <c r="G340" s="29">
        <v>1.6158999999999999</v>
      </c>
    </row>
    <row r="341" spans="1:7" x14ac:dyDescent="0.2">
      <c r="A341" s="71" t="s">
        <v>80</v>
      </c>
      <c r="B341" s="17">
        <v>1800</v>
      </c>
      <c r="C341" s="26">
        <v>1200</v>
      </c>
      <c r="D341" s="27">
        <v>0.52400000000000002</v>
      </c>
      <c r="E341" s="28">
        <v>1428.5</v>
      </c>
      <c r="F341" s="28">
        <v>1602.9</v>
      </c>
      <c r="G341" s="29">
        <v>1.6534</v>
      </c>
    </row>
    <row r="342" spans="1:7" x14ac:dyDescent="0.2">
      <c r="A342" s="71" t="s">
        <v>80</v>
      </c>
      <c r="B342" s="17">
        <v>1800</v>
      </c>
      <c r="C342" s="26">
        <v>1300</v>
      </c>
      <c r="D342" s="27">
        <v>0.56100000000000005</v>
      </c>
      <c r="E342" s="28">
        <v>1475.5</v>
      </c>
      <c r="F342" s="28">
        <v>1662.5</v>
      </c>
      <c r="G342" s="29">
        <v>1.6882999999999999</v>
      </c>
    </row>
    <row r="343" spans="1:7" x14ac:dyDescent="0.2">
      <c r="A343" s="71" t="s">
        <v>80</v>
      </c>
      <c r="B343" s="17">
        <v>1800</v>
      </c>
      <c r="C343" s="26">
        <v>1400</v>
      </c>
      <c r="D343" s="27">
        <v>0.59799999999999998</v>
      </c>
      <c r="E343" s="28">
        <v>1522.5</v>
      </c>
      <c r="F343" s="28">
        <v>1721.8</v>
      </c>
      <c r="G343" s="29">
        <v>1.7211000000000001</v>
      </c>
    </row>
    <row r="344" spans="1:7" x14ac:dyDescent="0.2">
      <c r="A344" s="73" t="s">
        <v>80</v>
      </c>
      <c r="B344" s="18">
        <v>1800</v>
      </c>
      <c r="C344" s="30">
        <v>1600</v>
      </c>
      <c r="D344" s="31">
        <v>0.67</v>
      </c>
      <c r="E344" s="32">
        <v>1617.2</v>
      </c>
      <c r="F344" s="32">
        <v>1840.4</v>
      </c>
      <c r="G344" s="33">
        <v>1.7817000000000001</v>
      </c>
    </row>
    <row r="345" spans="1:7" x14ac:dyDescent="0.2">
      <c r="A345" s="71">
        <v>2000</v>
      </c>
      <c r="B345" s="17">
        <v>2000</v>
      </c>
      <c r="C345" s="26">
        <v>636</v>
      </c>
      <c r="D345" s="26">
        <v>0.188</v>
      </c>
      <c r="E345" s="26">
        <v>1066.5999999999999</v>
      </c>
      <c r="F345" s="26">
        <v>1136.3</v>
      </c>
      <c r="G345" s="34">
        <v>1.2861</v>
      </c>
    </row>
    <row r="346" spans="1:7" x14ac:dyDescent="0.2">
      <c r="A346" s="71" t="s">
        <v>80</v>
      </c>
      <c r="B346" s="17">
        <v>2000</v>
      </c>
      <c r="C346" s="26">
        <v>650</v>
      </c>
      <c r="D346" s="26">
        <v>0.20599999999999999</v>
      </c>
      <c r="E346" s="26">
        <v>1091.0999999999999</v>
      </c>
      <c r="F346" s="26">
        <v>1167.2</v>
      </c>
      <c r="G346" s="34">
        <v>1.3141</v>
      </c>
    </row>
    <row r="347" spans="1:7" x14ac:dyDescent="0.2">
      <c r="A347" s="71" t="s">
        <v>80</v>
      </c>
      <c r="B347" s="17">
        <v>2000</v>
      </c>
      <c r="C347" s="26">
        <v>700</v>
      </c>
      <c r="D347" s="26">
        <v>0.249</v>
      </c>
      <c r="E347" s="26">
        <v>1147.7</v>
      </c>
      <c r="F347" s="26">
        <v>1239.8</v>
      </c>
      <c r="G347" s="34">
        <v>1.3782000000000001</v>
      </c>
    </row>
    <row r="348" spans="1:7" x14ac:dyDescent="0.2">
      <c r="A348" s="71" t="s">
        <v>80</v>
      </c>
      <c r="B348" s="17">
        <v>2000</v>
      </c>
      <c r="C348" s="26">
        <v>750</v>
      </c>
      <c r="D348" s="26">
        <v>0.28000000000000003</v>
      </c>
      <c r="E348" s="26">
        <v>1187.3</v>
      </c>
      <c r="F348" s="26">
        <v>1291.0999999999999</v>
      </c>
      <c r="G348" s="34">
        <v>1.4216</v>
      </c>
    </row>
    <row r="349" spans="1:7" x14ac:dyDescent="0.2">
      <c r="A349" s="71" t="s">
        <v>80</v>
      </c>
      <c r="B349" s="17">
        <v>2000</v>
      </c>
      <c r="C349" s="26">
        <v>800</v>
      </c>
      <c r="D349" s="26">
        <v>0.307</v>
      </c>
      <c r="E349" s="26">
        <v>1220.0999999999999</v>
      </c>
      <c r="F349" s="26">
        <v>1333.8</v>
      </c>
      <c r="G349" s="34">
        <v>1.4561999999999999</v>
      </c>
    </row>
    <row r="350" spans="1:7" x14ac:dyDescent="0.2">
      <c r="A350" s="71" t="s">
        <v>80</v>
      </c>
      <c r="B350" s="17">
        <v>2000</v>
      </c>
      <c r="C350" s="26">
        <v>900</v>
      </c>
      <c r="D350" s="26">
        <v>0.35299999999999998</v>
      </c>
      <c r="E350" s="26">
        <v>1276.8</v>
      </c>
      <c r="F350" s="26">
        <v>1407.6</v>
      </c>
      <c r="G350" s="34">
        <v>1.5125999999999999</v>
      </c>
    </row>
    <row r="351" spans="1:7" x14ac:dyDescent="0.2">
      <c r="A351" s="71" t="s">
        <v>80</v>
      </c>
      <c r="B351" s="17">
        <v>2000</v>
      </c>
      <c r="C351" s="26">
        <v>1000</v>
      </c>
      <c r="D351" s="26">
        <v>0.39500000000000002</v>
      </c>
      <c r="E351" s="26">
        <v>1328.1</v>
      </c>
      <c r="F351" s="26">
        <v>1474.1</v>
      </c>
      <c r="G351" s="34">
        <v>1.5598000000000001</v>
      </c>
    </row>
    <row r="352" spans="1:7" x14ac:dyDescent="0.2">
      <c r="A352" s="71" t="s">
        <v>80</v>
      </c>
      <c r="B352" s="17">
        <v>2000</v>
      </c>
      <c r="C352" s="26">
        <v>1100</v>
      </c>
      <c r="D352" s="26">
        <v>0.433</v>
      </c>
      <c r="E352" s="26">
        <v>1377.2</v>
      </c>
      <c r="F352" s="26">
        <v>1537.2</v>
      </c>
      <c r="G352" s="34">
        <v>1.6016999999999999</v>
      </c>
    </row>
    <row r="353" spans="1:7" x14ac:dyDescent="0.2">
      <c r="A353" s="71" t="s">
        <v>80</v>
      </c>
      <c r="B353" s="17">
        <v>2000</v>
      </c>
      <c r="C353" s="26">
        <v>1200</v>
      </c>
      <c r="D353" s="26">
        <v>0.46899999999999997</v>
      </c>
      <c r="E353" s="26">
        <v>1425.2</v>
      </c>
      <c r="F353" s="26">
        <v>1598.6</v>
      </c>
      <c r="G353" s="34">
        <v>1.6397999999999999</v>
      </c>
    </row>
    <row r="354" spans="1:7" x14ac:dyDescent="0.2">
      <c r="A354" s="71" t="s">
        <v>80</v>
      </c>
      <c r="B354" s="17">
        <v>2000</v>
      </c>
      <c r="C354" s="26">
        <v>1300</v>
      </c>
      <c r="D354" s="26">
        <v>0.503</v>
      </c>
      <c r="E354" s="26">
        <v>1472.7</v>
      </c>
      <c r="F354" s="26">
        <v>1659</v>
      </c>
      <c r="G354" s="34">
        <v>1.6751</v>
      </c>
    </row>
    <row r="355" spans="1:7" x14ac:dyDescent="0.2">
      <c r="A355" s="71" t="s">
        <v>80</v>
      </c>
      <c r="B355" s="17">
        <v>2000</v>
      </c>
      <c r="C355" s="26">
        <v>1400</v>
      </c>
      <c r="D355" s="26">
        <v>0.53700000000000003</v>
      </c>
      <c r="E355" s="26">
        <v>1520.2</v>
      </c>
      <c r="F355" s="26">
        <v>1718.8</v>
      </c>
      <c r="G355" s="34">
        <v>1.7081999999999999</v>
      </c>
    </row>
    <row r="356" spans="1:7" x14ac:dyDescent="0.2">
      <c r="A356" s="71" t="s">
        <v>80</v>
      </c>
      <c r="B356" s="17">
        <v>2000</v>
      </c>
      <c r="C356" s="26">
        <v>1600</v>
      </c>
      <c r="D356" s="26">
        <v>0.60199999999999998</v>
      </c>
      <c r="E356" s="26">
        <v>1615.4</v>
      </c>
      <c r="F356" s="26">
        <v>1838.2</v>
      </c>
      <c r="G356" s="34">
        <v>1.7692000000000001</v>
      </c>
    </row>
    <row r="357" spans="1:7" x14ac:dyDescent="0.2">
      <c r="A357" s="63">
        <v>2500</v>
      </c>
      <c r="B357" s="19">
        <v>2500</v>
      </c>
      <c r="C357" s="22">
        <v>668.3</v>
      </c>
      <c r="D357" s="23">
        <v>0.13059999999999999</v>
      </c>
      <c r="E357" s="24">
        <v>1031</v>
      </c>
      <c r="F357" s="24">
        <v>1091.4000000000001</v>
      </c>
      <c r="G357" s="25">
        <v>1.2326999999999999</v>
      </c>
    </row>
    <row r="358" spans="1:7" x14ac:dyDescent="0.2">
      <c r="A358" s="64" t="s">
        <v>80</v>
      </c>
      <c r="B358" s="20">
        <v>2500</v>
      </c>
      <c r="C358" s="26">
        <v>700</v>
      </c>
      <c r="D358" s="27">
        <v>0.16839999999999999</v>
      </c>
      <c r="E358" s="28">
        <v>1098.7</v>
      </c>
      <c r="F358" s="28">
        <v>1176.5999999999999</v>
      </c>
      <c r="G358" s="29">
        <v>1.3072999999999999</v>
      </c>
    </row>
    <row r="359" spans="1:7" x14ac:dyDescent="0.2">
      <c r="A359" s="64" t="s">
        <v>80</v>
      </c>
      <c r="B359" s="20">
        <v>2500</v>
      </c>
      <c r="C359" s="26">
        <v>750</v>
      </c>
      <c r="D359" s="27">
        <v>0.20300000000000001</v>
      </c>
      <c r="E359" s="28">
        <v>1155.2</v>
      </c>
      <c r="F359" s="28">
        <v>1249.0999999999999</v>
      </c>
      <c r="G359" s="29">
        <v>1.3686</v>
      </c>
    </row>
    <row r="360" spans="1:7" x14ac:dyDescent="0.2">
      <c r="A360" s="64" t="s">
        <v>80</v>
      </c>
      <c r="B360" s="20">
        <v>2500</v>
      </c>
      <c r="C360" s="26">
        <v>800</v>
      </c>
      <c r="D360" s="27">
        <v>0.2291</v>
      </c>
      <c r="E360" s="28">
        <v>1195.7</v>
      </c>
      <c r="F360" s="28">
        <v>1301.7</v>
      </c>
      <c r="G360" s="29">
        <v>1.4112</v>
      </c>
    </row>
    <row r="361" spans="1:7" x14ac:dyDescent="0.2">
      <c r="A361" s="64" t="s">
        <v>80</v>
      </c>
      <c r="B361" s="20">
        <v>2500</v>
      </c>
      <c r="C361" s="26">
        <v>900</v>
      </c>
      <c r="D361" s="27">
        <v>0.2712</v>
      </c>
      <c r="E361" s="28">
        <v>1259.9000000000001</v>
      </c>
      <c r="F361" s="28">
        <v>1385.4</v>
      </c>
      <c r="G361" s="29">
        <v>1.4752000000000001</v>
      </c>
    </row>
    <row r="362" spans="1:7" x14ac:dyDescent="0.2">
      <c r="A362" s="64" t="s">
        <v>80</v>
      </c>
      <c r="B362" s="20">
        <v>2500</v>
      </c>
      <c r="C362" s="26">
        <v>1000</v>
      </c>
      <c r="D362" s="27">
        <v>0.30690000000000001</v>
      </c>
      <c r="E362" s="28">
        <v>1315.2</v>
      </c>
      <c r="F362" s="28">
        <v>1457.2</v>
      </c>
      <c r="G362" s="29">
        <v>1.5262</v>
      </c>
    </row>
    <row r="363" spans="1:7" x14ac:dyDescent="0.2">
      <c r="A363" s="64" t="s">
        <v>80</v>
      </c>
      <c r="B363" s="20">
        <v>2500</v>
      </c>
      <c r="C363" s="26">
        <v>1100</v>
      </c>
      <c r="D363" s="27">
        <v>0.33929999999999999</v>
      </c>
      <c r="E363" s="28">
        <v>1366.8</v>
      </c>
      <c r="F363" s="28">
        <v>1523.8</v>
      </c>
      <c r="G363" s="29">
        <v>1.5704</v>
      </c>
    </row>
    <row r="364" spans="1:7" x14ac:dyDescent="0.2">
      <c r="A364" s="64" t="s">
        <v>80</v>
      </c>
      <c r="B364" s="20">
        <v>2500</v>
      </c>
      <c r="C364" s="26">
        <v>1200</v>
      </c>
      <c r="D364" s="27">
        <v>0.36959999999999998</v>
      </c>
      <c r="E364" s="28">
        <v>1416.7</v>
      </c>
      <c r="F364" s="28">
        <v>1587.7</v>
      </c>
      <c r="G364" s="29">
        <v>1.6101000000000001</v>
      </c>
    </row>
    <row r="365" spans="1:7" x14ac:dyDescent="0.2">
      <c r="A365" s="64" t="s">
        <v>80</v>
      </c>
      <c r="B365" s="20">
        <v>2500</v>
      </c>
      <c r="C365" s="26">
        <v>1300</v>
      </c>
      <c r="D365" s="27">
        <v>0.39839999999999998</v>
      </c>
      <c r="E365" s="28">
        <v>1465.7</v>
      </c>
      <c r="F365" s="28">
        <v>1650</v>
      </c>
      <c r="G365" s="29">
        <v>1.6465000000000001</v>
      </c>
    </row>
    <row r="366" spans="1:7" x14ac:dyDescent="0.2">
      <c r="A366" s="64" t="s">
        <v>80</v>
      </c>
      <c r="B366" s="20">
        <v>2500</v>
      </c>
      <c r="C366" s="26">
        <v>1400</v>
      </c>
      <c r="D366" s="27">
        <v>0.42609999999999998</v>
      </c>
      <c r="E366" s="28">
        <v>1514.2</v>
      </c>
      <c r="F366" s="28">
        <v>1711.3</v>
      </c>
      <c r="G366" s="29">
        <v>1.6803999999999999</v>
      </c>
    </row>
    <row r="367" spans="1:7" x14ac:dyDescent="0.2">
      <c r="A367" s="64" t="s">
        <v>80</v>
      </c>
      <c r="B367" s="20">
        <v>2500</v>
      </c>
      <c r="C367" s="26">
        <v>1500</v>
      </c>
      <c r="D367" s="27">
        <v>0.4531</v>
      </c>
      <c r="E367" s="28">
        <v>1562.5</v>
      </c>
      <c r="F367" s="28">
        <v>1772.1</v>
      </c>
      <c r="G367" s="29">
        <v>1.7122999999999999</v>
      </c>
    </row>
    <row r="368" spans="1:7" x14ac:dyDescent="0.2">
      <c r="A368" s="65" t="s">
        <v>80</v>
      </c>
      <c r="B368" s="21">
        <v>2500</v>
      </c>
      <c r="C368" s="30">
        <v>1600</v>
      </c>
      <c r="D368" s="31">
        <v>0.47949999999999998</v>
      </c>
      <c r="E368" s="32">
        <v>1610.8</v>
      </c>
      <c r="F368" s="32">
        <v>1832.6</v>
      </c>
      <c r="G368" s="33">
        <v>1.7423999999999999</v>
      </c>
    </row>
    <row r="369" spans="1:7" x14ac:dyDescent="0.2">
      <c r="A369" s="71">
        <v>3000</v>
      </c>
      <c r="B369" s="17">
        <v>3000</v>
      </c>
      <c r="C369" s="26">
        <v>695.5</v>
      </c>
      <c r="D369" s="26">
        <v>8.4000000000000005E-2</v>
      </c>
      <c r="E369" s="26">
        <v>968.8</v>
      </c>
      <c r="F369" s="26">
        <v>1015.5</v>
      </c>
      <c r="G369" s="34">
        <v>1.1575</v>
      </c>
    </row>
    <row r="370" spans="1:7" x14ac:dyDescent="0.2">
      <c r="A370" s="71" t="s">
        <v>80</v>
      </c>
      <c r="B370" s="17">
        <v>3000</v>
      </c>
      <c r="C370" s="26">
        <v>700</v>
      </c>
      <c r="D370" s="26">
        <v>9.7699999999999995E-2</v>
      </c>
      <c r="E370" s="26">
        <v>1003.9</v>
      </c>
      <c r="F370" s="26">
        <v>1058.0999999999999</v>
      </c>
      <c r="G370" s="34">
        <v>1.1943999999999999</v>
      </c>
    </row>
    <row r="371" spans="1:7" x14ac:dyDescent="0.2">
      <c r="A371" s="71" t="s">
        <v>80</v>
      </c>
      <c r="B371" s="17">
        <v>3000</v>
      </c>
      <c r="C371" s="26">
        <v>750</v>
      </c>
      <c r="D371" s="26">
        <v>0.14829999999999999</v>
      </c>
      <c r="E371" s="26">
        <v>1114.7</v>
      </c>
      <c r="F371" s="26">
        <v>1197.0999999999999</v>
      </c>
      <c r="G371" s="34">
        <v>1.3122</v>
      </c>
    </row>
    <row r="372" spans="1:7" x14ac:dyDescent="0.2">
      <c r="A372" s="71" t="s">
        <v>80</v>
      </c>
      <c r="B372" s="17">
        <v>3000</v>
      </c>
      <c r="C372" s="26">
        <v>800</v>
      </c>
      <c r="D372" s="26">
        <v>0.1757</v>
      </c>
      <c r="E372" s="26">
        <v>1167.5999999999999</v>
      </c>
      <c r="F372" s="26">
        <v>1265.2</v>
      </c>
      <c r="G372" s="34">
        <v>1.3674999999999999</v>
      </c>
    </row>
    <row r="373" spans="1:7" x14ac:dyDescent="0.2">
      <c r="A373" s="71" t="s">
        <v>80</v>
      </c>
      <c r="B373" s="17">
        <v>3000</v>
      </c>
      <c r="C373" s="26">
        <v>900</v>
      </c>
      <c r="D373" s="26">
        <v>0.216</v>
      </c>
      <c r="E373" s="26">
        <v>1241.8</v>
      </c>
      <c r="F373" s="26">
        <v>1361.7</v>
      </c>
      <c r="G373" s="34">
        <v>1.4414</v>
      </c>
    </row>
    <row r="374" spans="1:7" x14ac:dyDescent="0.2">
      <c r="A374" s="71" t="s">
        <v>80</v>
      </c>
      <c r="B374" s="17">
        <v>3000</v>
      </c>
      <c r="C374" s="26">
        <v>1000</v>
      </c>
      <c r="D374" s="26">
        <v>0.2485</v>
      </c>
      <c r="E374" s="26">
        <v>1301.7</v>
      </c>
      <c r="F374" s="26">
        <v>1439.6</v>
      </c>
      <c r="G374" s="34">
        <v>1.4966999999999999</v>
      </c>
    </row>
    <row r="375" spans="1:7" x14ac:dyDescent="0.2">
      <c r="A375" s="71" t="s">
        <v>80</v>
      </c>
      <c r="B375" s="17">
        <v>3000</v>
      </c>
      <c r="C375" s="26">
        <v>1100</v>
      </c>
      <c r="D375" s="26">
        <v>0.2772</v>
      </c>
      <c r="E375" s="26">
        <v>1356.2</v>
      </c>
      <c r="F375" s="26">
        <v>1510.1</v>
      </c>
      <c r="G375" s="34">
        <v>1.5434000000000001</v>
      </c>
    </row>
    <row r="376" spans="1:7" x14ac:dyDescent="0.2">
      <c r="A376" s="71" t="s">
        <v>80</v>
      </c>
      <c r="B376" s="17">
        <v>3000</v>
      </c>
      <c r="C376" s="26">
        <v>1200</v>
      </c>
      <c r="D376" s="26">
        <v>0.30859999999999999</v>
      </c>
      <c r="E376" s="26">
        <v>1408</v>
      </c>
      <c r="F376" s="26">
        <v>1576.6</v>
      </c>
      <c r="G376" s="34">
        <v>1.5848</v>
      </c>
    </row>
    <row r="377" spans="1:7" x14ac:dyDescent="0.2">
      <c r="A377" s="71" t="s">
        <v>80</v>
      </c>
      <c r="B377" s="17">
        <v>3000</v>
      </c>
      <c r="C377" s="26">
        <v>1300</v>
      </c>
      <c r="D377" s="26">
        <v>0.32850000000000001</v>
      </c>
      <c r="E377" s="26">
        <v>1458.5</v>
      </c>
      <c r="F377" s="26">
        <v>1640.9</v>
      </c>
      <c r="G377" s="34">
        <v>1.6224000000000001</v>
      </c>
    </row>
    <row r="378" spans="1:7" x14ac:dyDescent="0.2">
      <c r="A378" s="71" t="s">
        <v>80</v>
      </c>
      <c r="B378" s="17">
        <v>3000</v>
      </c>
      <c r="C378" s="26">
        <v>1400</v>
      </c>
      <c r="D378" s="26">
        <v>0.35239999999999999</v>
      </c>
      <c r="E378" s="26">
        <v>1508.1</v>
      </c>
      <c r="F378" s="26">
        <v>1703.7</v>
      </c>
      <c r="G378" s="34">
        <v>1.6571</v>
      </c>
    </row>
    <row r="379" spans="1:7" x14ac:dyDescent="0.2">
      <c r="A379" s="71" t="s">
        <v>80</v>
      </c>
      <c r="B379" s="17">
        <v>3000</v>
      </c>
      <c r="C379" s="26">
        <v>1500</v>
      </c>
      <c r="D379" s="26">
        <v>0.37540000000000001</v>
      </c>
      <c r="E379" s="26">
        <v>1557.3</v>
      </c>
      <c r="F379" s="26">
        <v>1765.7</v>
      </c>
      <c r="G379" s="34">
        <v>1.6896</v>
      </c>
    </row>
    <row r="380" spans="1:7" x14ac:dyDescent="0.2">
      <c r="A380" s="71" t="s">
        <v>80</v>
      </c>
      <c r="B380" s="17">
        <v>3000</v>
      </c>
      <c r="C380" s="26">
        <v>1600</v>
      </c>
      <c r="D380" s="26">
        <v>0.39779999999999999</v>
      </c>
      <c r="E380" s="26">
        <v>1606.3</v>
      </c>
      <c r="F380" s="26">
        <v>1827.1</v>
      </c>
      <c r="G380" s="34">
        <v>1.7201</v>
      </c>
    </row>
    <row r="381" spans="1:7" x14ac:dyDescent="0.2">
      <c r="A381" s="63">
        <v>3500</v>
      </c>
      <c r="B381" s="19">
        <v>3500</v>
      </c>
      <c r="C381" s="22">
        <v>650</v>
      </c>
      <c r="D381" s="23">
        <v>2.4899999999999999E-2</v>
      </c>
      <c r="E381" s="24">
        <v>663.5</v>
      </c>
      <c r="F381" s="24">
        <v>679.7</v>
      </c>
      <c r="G381" s="25">
        <v>0.86299999999999999</v>
      </c>
    </row>
    <row r="382" spans="1:7" x14ac:dyDescent="0.2">
      <c r="A382" s="64" t="s">
        <v>80</v>
      </c>
      <c r="B382" s="20">
        <v>3500</v>
      </c>
      <c r="C382" s="26">
        <v>700</v>
      </c>
      <c r="D382" s="27">
        <v>3.0599999999999999E-2</v>
      </c>
      <c r="E382" s="28">
        <v>759.5</v>
      </c>
      <c r="F382" s="28">
        <v>779.3</v>
      </c>
      <c r="G382" s="29">
        <v>0.9506</v>
      </c>
    </row>
    <row r="383" spans="1:7" x14ac:dyDescent="0.2">
      <c r="A383" s="64" t="s">
        <v>80</v>
      </c>
      <c r="B383" s="20">
        <v>3500</v>
      </c>
      <c r="C383" s="26">
        <v>750</v>
      </c>
      <c r="D383" s="27">
        <v>0.1046</v>
      </c>
      <c r="E383" s="28">
        <v>1058.4000000000001</v>
      </c>
      <c r="F383" s="28">
        <v>1126.0999999999999</v>
      </c>
      <c r="G383" s="29">
        <v>1.244</v>
      </c>
    </row>
    <row r="384" spans="1:7" x14ac:dyDescent="0.2">
      <c r="A384" s="64" t="s">
        <v>80</v>
      </c>
      <c r="B384" s="20">
        <v>3500</v>
      </c>
      <c r="C384" s="26">
        <v>800</v>
      </c>
      <c r="D384" s="27">
        <v>0.1363</v>
      </c>
      <c r="E384" s="28">
        <v>1134.7</v>
      </c>
      <c r="F384" s="28">
        <v>1223</v>
      </c>
      <c r="G384" s="29">
        <v>1.3226</v>
      </c>
    </row>
    <row r="385" spans="1:7" x14ac:dyDescent="0.2">
      <c r="A385" s="64" t="s">
        <v>80</v>
      </c>
      <c r="B385" s="20">
        <v>3500</v>
      </c>
      <c r="C385" s="26">
        <v>900</v>
      </c>
      <c r="D385" s="27">
        <v>0.17630000000000001</v>
      </c>
      <c r="E385" s="28">
        <v>1222.4000000000001</v>
      </c>
      <c r="F385" s="28">
        <v>1336.5</v>
      </c>
      <c r="G385" s="29">
        <v>1.4096</v>
      </c>
    </row>
    <row r="386" spans="1:7" x14ac:dyDescent="0.2">
      <c r="A386" s="64" t="s">
        <v>80</v>
      </c>
      <c r="B386" s="20">
        <v>3500</v>
      </c>
      <c r="C386" s="26">
        <v>1000</v>
      </c>
      <c r="D386" s="27">
        <v>0.20660000000000001</v>
      </c>
      <c r="E386" s="28">
        <v>1287.5999999999999</v>
      </c>
      <c r="F386" s="28">
        <v>1421.4</v>
      </c>
      <c r="G386" s="29">
        <v>1.4699</v>
      </c>
    </row>
    <row r="387" spans="1:7" x14ac:dyDescent="0.2">
      <c r="A387" s="64" t="s">
        <v>80</v>
      </c>
      <c r="B387" s="20">
        <v>3500</v>
      </c>
      <c r="C387" s="26">
        <v>1100</v>
      </c>
      <c r="D387" s="27">
        <v>0.23280000000000001</v>
      </c>
      <c r="E387" s="28">
        <v>1345.2</v>
      </c>
      <c r="F387" s="28">
        <v>1496</v>
      </c>
      <c r="G387" s="29">
        <v>1.5193000000000001</v>
      </c>
    </row>
    <row r="388" spans="1:7" x14ac:dyDescent="0.2">
      <c r="A388" s="64" t="s">
        <v>80</v>
      </c>
      <c r="B388" s="20">
        <v>3500</v>
      </c>
      <c r="C388" s="26">
        <v>1200</v>
      </c>
      <c r="D388" s="27">
        <v>0.25659999999999999</v>
      </c>
      <c r="E388" s="28">
        <v>1399.2</v>
      </c>
      <c r="F388" s="28">
        <v>1565.3</v>
      </c>
      <c r="G388" s="29">
        <v>1.5624</v>
      </c>
    </row>
    <row r="389" spans="1:7" x14ac:dyDescent="0.2">
      <c r="A389" s="64" t="s">
        <v>80</v>
      </c>
      <c r="B389" s="20">
        <v>3500</v>
      </c>
      <c r="C389" s="26">
        <v>1300</v>
      </c>
      <c r="D389" s="27">
        <v>0.2787</v>
      </c>
      <c r="E389" s="28">
        <v>1451.1</v>
      </c>
      <c r="F389" s="28">
        <v>1631.7</v>
      </c>
      <c r="G389" s="29">
        <v>1.6012</v>
      </c>
    </row>
    <row r="390" spans="1:7" x14ac:dyDescent="0.2">
      <c r="A390" s="64" t="s">
        <v>80</v>
      </c>
      <c r="B390" s="20">
        <v>3500</v>
      </c>
      <c r="C390" s="26">
        <v>1400</v>
      </c>
      <c r="D390" s="27">
        <v>0.29970000000000002</v>
      </c>
      <c r="E390" s="28">
        <v>1501.9</v>
      </c>
      <c r="F390" s="28">
        <v>1696.1</v>
      </c>
      <c r="G390" s="29">
        <v>1.6368</v>
      </c>
    </row>
    <row r="391" spans="1:7" x14ac:dyDescent="0.2">
      <c r="A391" s="64" t="s">
        <v>80</v>
      </c>
      <c r="B391" s="20">
        <v>3500</v>
      </c>
      <c r="C391" s="26">
        <v>1500</v>
      </c>
      <c r="D391" s="27">
        <v>0.31990000000000002</v>
      </c>
      <c r="E391" s="28">
        <v>1552</v>
      </c>
      <c r="F391" s="28">
        <v>1759.2</v>
      </c>
      <c r="G391" s="29">
        <v>1.6698999999999999</v>
      </c>
    </row>
    <row r="392" spans="1:7" x14ac:dyDescent="0.2">
      <c r="A392" s="65" t="s">
        <v>80</v>
      </c>
      <c r="B392" s="21">
        <v>3500</v>
      </c>
      <c r="C392" s="30">
        <v>1600</v>
      </c>
      <c r="D392" s="31">
        <v>0.33950000000000002</v>
      </c>
      <c r="E392" s="32">
        <v>1601.7</v>
      </c>
      <c r="F392" s="32">
        <v>1831.6</v>
      </c>
      <c r="G392" s="33">
        <v>1.7010000000000001</v>
      </c>
    </row>
    <row r="393" spans="1:7" x14ac:dyDescent="0.2">
      <c r="A393" s="71">
        <v>4000</v>
      </c>
      <c r="B393" s="17">
        <v>4000</v>
      </c>
      <c r="C393" s="26">
        <v>650</v>
      </c>
      <c r="D393" s="26">
        <v>2.4500000000000001E-2</v>
      </c>
      <c r="E393" s="26">
        <v>657.7</v>
      </c>
      <c r="F393" s="26">
        <v>675.8</v>
      </c>
      <c r="G393" s="34">
        <v>0.85740000000000005</v>
      </c>
    </row>
    <row r="394" spans="1:7" x14ac:dyDescent="0.2">
      <c r="A394" s="71" t="s">
        <v>80</v>
      </c>
      <c r="B394" s="17">
        <v>4000</v>
      </c>
      <c r="C394" s="26">
        <v>700</v>
      </c>
      <c r="D394" s="26">
        <v>2.87E-2</v>
      </c>
      <c r="E394" s="26">
        <v>742.1</v>
      </c>
      <c r="F394" s="26">
        <v>763.4</v>
      </c>
      <c r="G394" s="34">
        <v>0.9345</v>
      </c>
    </row>
    <row r="395" spans="1:7" x14ac:dyDescent="0.2">
      <c r="A395" s="71" t="s">
        <v>80</v>
      </c>
      <c r="B395" s="17">
        <v>4000</v>
      </c>
      <c r="C395" s="26">
        <v>750</v>
      </c>
      <c r="D395" s="26">
        <v>6.3299999999999995E-2</v>
      </c>
      <c r="E395" s="26">
        <v>960.7</v>
      </c>
      <c r="F395" s="26">
        <v>1007.5</v>
      </c>
      <c r="G395" s="34">
        <v>1.1395</v>
      </c>
    </row>
    <row r="396" spans="1:7" x14ac:dyDescent="0.2">
      <c r="A396" s="71" t="s">
        <v>80</v>
      </c>
      <c r="B396" s="17">
        <v>4000</v>
      </c>
      <c r="C396" s="26">
        <v>800</v>
      </c>
      <c r="D396" s="26">
        <v>0.1052</v>
      </c>
      <c r="E396" s="26">
        <v>1095</v>
      </c>
      <c r="F396" s="26">
        <v>1172.9000000000001</v>
      </c>
      <c r="G396" s="34">
        <v>1.274</v>
      </c>
    </row>
    <row r="397" spans="1:7" x14ac:dyDescent="0.2">
      <c r="A397" s="71" t="s">
        <v>80</v>
      </c>
      <c r="B397" s="17">
        <v>4000</v>
      </c>
      <c r="C397" s="26">
        <v>900</v>
      </c>
      <c r="D397" s="26">
        <v>0.1462</v>
      </c>
      <c r="E397" s="26">
        <v>1201.5</v>
      </c>
      <c r="F397" s="26">
        <v>1309.7</v>
      </c>
      <c r="G397" s="34">
        <v>1.3789</v>
      </c>
    </row>
    <row r="398" spans="1:7" x14ac:dyDescent="0.2">
      <c r="A398" s="71" t="s">
        <v>80</v>
      </c>
      <c r="B398" s="17">
        <v>4000</v>
      </c>
      <c r="C398" s="26">
        <v>1000</v>
      </c>
      <c r="D398" s="26">
        <v>0.17519999999999999</v>
      </c>
      <c r="E398" s="26">
        <v>1272.9000000000001</v>
      </c>
      <c r="F398" s="26">
        <v>1402.6</v>
      </c>
      <c r="G398" s="34">
        <v>1.4449000000000001</v>
      </c>
    </row>
    <row r="399" spans="1:7" x14ac:dyDescent="0.2">
      <c r="A399" s="71" t="s">
        <v>80</v>
      </c>
      <c r="B399" s="17">
        <v>4000</v>
      </c>
      <c r="C399" s="26">
        <v>1100</v>
      </c>
      <c r="D399" s="26">
        <v>0.19950000000000001</v>
      </c>
      <c r="E399" s="26">
        <v>1333.9</v>
      </c>
      <c r="F399" s="26">
        <v>1481.6</v>
      </c>
      <c r="G399" s="34">
        <v>1.4973000000000001</v>
      </c>
    </row>
    <row r="400" spans="1:7" x14ac:dyDescent="0.2">
      <c r="A400" s="71" t="s">
        <v>80</v>
      </c>
      <c r="B400" s="17">
        <v>4000</v>
      </c>
      <c r="C400" s="26">
        <v>1200</v>
      </c>
      <c r="D400" s="26">
        <v>0.2213</v>
      </c>
      <c r="E400" s="26">
        <v>1390.1</v>
      </c>
      <c r="F400" s="26">
        <v>1553.9</v>
      </c>
      <c r="G400" s="34">
        <v>1.5423</v>
      </c>
    </row>
    <row r="401" spans="1:7" x14ac:dyDescent="0.2">
      <c r="A401" s="71" t="s">
        <v>80</v>
      </c>
      <c r="B401" s="17">
        <v>4000</v>
      </c>
      <c r="C401" s="26">
        <v>1300</v>
      </c>
      <c r="D401" s="26">
        <v>0.2414</v>
      </c>
      <c r="E401" s="26">
        <v>1443.7</v>
      </c>
      <c r="F401" s="26">
        <v>1622.4</v>
      </c>
      <c r="G401" s="34">
        <v>1.5823</v>
      </c>
    </row>
    <row r="402" spans="1:7" x14ac:dyDescent="0.2">
      <c r="A402" s="71" t="s">
        <v>80</v>
      </c>
      <c r="B402" s="17">
        <v>4000</v>
      </c>
      <c r="C402" s="26">
        <v>1400</v>
      </c>
      <c r="D402" s="26">
        <v>0.26029999999999998</v>
      </c>
      <c r="E402" s="26">
        <v>1495.7</v>
      </c>
      <c r="F402" s="26">
        <v>1688.4</v>
      </c>
      <c r="G402" s="34">
        <v>1.6188</v>
      </c>
    </row>
    <row r="403" spans="1:7" x14ac:dyDescent="0.2">
      <c r="A403" s="71" t="s">
        <v>80</v>
      </c>
      <c r="B403" s="17">
        <v>4000</v>
      </c>
      <c r="C403" s="26">
        <v>1500</v>
      </c>
      <c r="D403" s="26">
        <v>0.27839999999999998</v>
      </c>
      <c r="E403" s="26">
        <v>1546.7</v>
      </c>
      <c r="F403" s="26">
        <v>1752.8</v>
      </c>
      <c r="G403" s="34">
        <v>1.6526000000000001</v>
      </c>
    </row>
    <row r="404" spans="1:7" x14ac:dyDescent="0.2">
      <c r="A404" s="71" t="s">
        <v>80</v>
      </c>
      <c r="B404" s="17">
        <v>4000</v>
      </c>
      <c r="C404" s="26">
        <v>1600</v>
      </c>
      <c r="D404" s="26">
        <v>0.2959</v>
      </c>
      <c r="E404" s="26">
        <v>1597.1</v>
      </c>
      <c r="F404" s="26">
        <v>1816.1</v>
      </c>
      <c r="G404" s="34">
        <v>1.6840999999999999</v>
      </c>
    </row>
    <row r="405" spans="1:7" x14ac:dyDescent="0.2">
      <c r="A405" s="63">
        <v>4400</v>
      </c>
      <c r="B405" s="19">
        <v>4400</v>
      </c>
      <c r="C405" s="22">
        <v>650</v>
      </c>
      <c r="D405" s="23">
        <v>2.4199999999999999E-2</v>
      </c>
      <c r="E405" s="24">
        <v>653.6</v>
      </c>
      <c r="F405" s="24">
        <v>673.3</v>
      </c>
      <c r="G405" s="25">
        <v>0.85350000000000004</v>
      </c>
    </row>
    <row r="406" spans="1:7" x14ac:dyDescent="0.2">
      <c r="A406" s="64" t="s">
        <v>80</v>
      </c>
      <c r="B406" s="20">
        <v>4400</v>
      </c>
      <c r="C406" s="26">
        <v>700</v>
      </c>
      <c r="D406" s="27">
        <v>2.7799999999999998E-2</v>
      </c>
      <c r="E406" s="28">
        <v>732.7</v>
      </c>
      <c r="F406" s="28">
        <v>755.3</v>
      </c>
      <c r="G406" s="29">
        <v>0.92569999999999997</v>
      </c>
    </row>
    <row r="407" spans="1:7" x14ac:dyDescent="0.2">
      <c r="A407" s="64" t="s">
        <v>80</v>
      </c>
      <c r="B407" s="20">
        <v>4400</v>
      </c>
      <c r="C407" s="26">
        <v>750</v>
      </c>
      <c r="D407" s="27">
        <v>4.1500000000000002E-2</v>
      </c>
      <c r="E407" s="28">
        <v>870.8</v>
      </c>
      <c r="F407" s="28">
        <v>904.6</v>
      </c>
      <c r="G407" s="29">
        <v>1.0512999999999999</v>
      </c>
    </row>
    <row r="408" spans="1:7" x14ac:dyDescent="0.2">
      <c r="A408" s="64" t="s">
        <v>80</v>
      </c>
      <c r="B408" s="20">
        <v>4400</v>
      </c>
      <c r="C408" s="26">
        <v>800</v>
      </c>
      <c r="D408" s="27">
        <v>8.4400000000000003E-2</v>
      </c>
      <c r="E408" s="28">
        <v>1056.5</v>
      </c>
      <c r="F408" s="28">
        <v>1125.3</v>
      </c>
      <c r="G408" s="29">
        <v>1.2305999999999999</v>
      </c>
    </row>
    <row r="409" spans="1:7" x14ac:dyDescent="0.2">
      <c r="A409" s="64" t="s">
        <v>80</v>
      </c>
      <c r="B409" s="20">
        <v>4400</v>
      </c>
      <c r="C409" s="26">
        <v>900</v>
      </c>
      <c r="D409" s="27">
        <v>0.127</v>
      </c>
      <c r="E409" s="28">
        <v>1183.7</v>
      </c>
      <c r="F409" s="28">
        <v>1287.0999999999999</v>
      </c>
      <c r="G409" s="29">
        <v>1.3548</v>
      </c>
    </row>
    <row r="410" spans="1:7" x14ac:dyDescent="0.2">
      <c r="A410" s="64" t="s">
        <v>80</v>
      </c>
      <c r="B410" s="20">
        <v>4400</v>
      </c>
      <c r="C410" s="26">
        <v>1000</v>
      </c>
      <c r="D410" s="27">
        <v>0.1552</v>
      </c>
      <c r="E410" s="28">
        <v>1260.8</v>
      </c>
      <c r="F410" s="28">
        <v>1387.2</v>
      </c>
      <c r="G410" s="29">
        <v>1.4259999999999999</v>
      </c>
    </row>
    <row r="411" spans="1:7" x14ac:dyDescent="0.2">
      <c r="A411" s="64" t="s">
        <v>80</v>
      </c>
      <c r="B411" s="20">
        <v>4400</v>
      </c>
      <c r="C411" s="26">
        <v>1100</v>
      </c>
      <c r="D411" s="27">
        <v>0.1784</v>
      </c>
      <c r="E411" s="28">
        <v>1324.7</v>
      </c>
      <c r="F411" s="28">
        <v>1469.9</v>
      </c>
      <c r="G411" s="29">
        <v>1.4809000000000001</v>
      </c>
    </row>
    <row r="412" spans="1:7" x14ac:dyDescent="0.2">
      <c r="A412" s="64" t="s">
        <v>80</v>
      </c>
      <c r="B412" s="20">
        <v>4400</v>
      </c>
      <c r="C412" s="26">
        <v>1200</v>
      </c>
      <c r="D412" s="27">
        <v>0.19889999999999999</v>
      </c>
      <c r="E412" s="28">
        <v>1382.8</v>
      </c>
      <c r="F412" s="28">
        <v>1544.7</v>
      </c>
      <c r="G412" s="29">
        <v>1.5274000000000001</v>
      </c>
    </row>
    <row r="413" spans="1:7" x14ac:dyDescent="0.2">
      <c r="A413" s="64" t="s">
        <v>80</v>
      </c>
      <c r="B413" s="20">
        <v>4400</v>
      </c>
      <c r="C413" s="26">
        <v>1300</v>
      </c>
      <c r="D413" s="27">
        <v>0.21759999999999999</v>
      </c>
      <c r="E413" s="28">
        <v>1437.7</v>
      </c>
      <c r="F413" s="28">
        <v>1614.9</v>
      </c>
      <c r="G413" s="29">
        <v>1.5685</v>
      </c>
    </row>
    <row r="414" spans="1:7" x14ac:dyDescent="0.2">
      <c r="A414" s="64" t="s">
        <v>80</v>
      </c>
      <c r="B414" s="20">
        <v>4400</v>
      </c>
      <c r="C414" s="26">
        <v>1400</v>
      </c>
      <c r="D414" s="27">
        <v>0.23519999999999999</v>
      </c>
      <c r="E414" s="28">
        <v>1490.7</v>
      </c>
      <c r="F414" s="28">
        <v>1682.3</v>
      </c>
      <c r="G414" s="29">
        <v>1.6056999999999999</v>
      </c>
    </row>
    <row r="415" spans="1:7" x14ac:dyDescent="0.2">
      <c r="A415" s="64" t="s">
        <v>80</v>
      </c>
      <c r="B415" s="20">
        <v>4400</v>
      </c>
      <c r="C415" s="26">
        <v>1500</v>
      </c>
      <c r="D415" s="27">
        <v>0.252</v>
      </c>
      <c r="E415" s="28">
        <v>1542.7</v>
      </c>
      <c r="F415" s="28">
        <v>1747.6</v>
      </c>
      <c r="G415" s="29">
        <v>1.6398999999999999</v>
      </c>
    </row>
    <row r="416" spans="1:7" x14ac:dyDescent="0.2">
      <c r="A416" s="65" t="s">
        <v>80</v>
      </c>
      <c r="B416" s="21">
        <v>4400</v>
      </c>
      <c r="C416" s="30">
        <v>1600</v>
      </c>
      <c r="D416" s="31">
        <v>0.2681</v>
      </c>
      <c r="E416" s="32">
        <v>1593.4</v>
      </c>
      <c r="F416" s="32">
        <v>1811.7</v>
      </c>
      <c r="G416" s="33">
        <v>1.6718</v>
      </c>
    </row>
    <row r="417" spans="1:7" x14ac:dyDescent="0.2">
      <c r="A417" s="71">
        <v>4800</v>
      </c>
      <c r="B417" s="17">
        <v>4800</v>
      </c>
      <c r="C417" s="26">
        <v>650</v>
      </c>
      <c r="D417" s="26">
        <v>2.3699999999999999E-2</v>
      </c>
      <c r="E417" s="26">
        <v>649.79999999999995</v>
      </c>
      <c r="F417" s="26">
        <v>671</v>
      </c>
      <c r="G417" s="34">
        <v>0.84989999999999999</v>
      </c>
    </row>
    <row r="418" spans="1:7" x14ac:dyDescent="0.2">
      <c r="A418" s="71" t="s">
        <v>80</v>
      </c>
      <c r="B418" s="17">
        <v>4800</v>
      </c>
      <c r="C418" s="26">
        <v>700</v>
      </c>
      <c r="D418" s="26">
        <v>2.7099999999999999E-2</v>
      </c>
      <c r="E418" s="26">
        <v>725.1</v>
      </c>
      <c r="F418" s="26">
        <v>749.1</v>
      </c>
      <c r="G418" s="34">
        <v>0.91869999999999996</v>
      </c>
    </row>
    <row r="419" spans="1:7" x14ac:dyDescent="0.2">
      <c r="A419" s="71" t="s">
        <v>80</v>
      </c>
      <c r="B419" s="17">
        <v>4800</v>
      </c>
      <c r="C419" s="26">
        <v>750</v>
      </c>
      <c r="D419" s="26">
        <v>3.5200000000000002E-2</v>
      </c>
      <c r="E419" s="26">
        <v>832.6</v>
      </c>
      <c r="F419" s="26">
        <v>863.9</v>
      </c>
      <c r="G419" s="34">
        <v>1.0154000000000001</v>
      </c>
    </row>
    <row r="420" spans="1:7" x14ac:dyDescent="0.2">
      <c r="A420" s="71" t="s">
        <v>80</v>
      </c>
      <c r="B420" s="17">
        <v>4800</v>
      </c>
      <c r="C420" s="26">
        <v>800</v>
      </c>
      <c r="D420" s="26">
        <v>6.6799999999999998E-2</v>
      </c>
      <c r="E420" s="26">
        <v>1011.2</v>
      </c>
      <c r="F420" s="26">
        <v>1070.5</v>
      </c>
      <c r="G420" s="34">
        <v>1.1827000000000001</v>
      </c>
    </row>
    <row r="421" spans="1:7" x14ac:dyDescent="0.2">
      <c r="A421" s="71" t="s">
        <v>80</v>
      </c>
      <c r="B421" s="17">
        <v>4800</v>
      </c>
      <c r="C421" s="26">
        <v>900</v>
      </c>
      <c r="D421" s="26">
        <v>0.1109</v>
      </c>
      <c r="E421" s="26">
        <v>1164.8</v>
      </c>
      <c r="F421" s="26">
        <v>1263.4000000000001</v>
      </c>
      <c r="G421" s="34">
        <v>1.331</v>
      </c>
    </row>
    <row r="422" spans="1:7" x14ac:dyDescent="0.2">
      <c r="A422" s="71" t="s">
        <v>80</v>
      </c>
      <c r="B422" s="17">
        <v>4800</v>
      </c>
      <c r="C422" s="26">
        <v>1000</v>
      </c>
      <c r="D422" s="26">
        <v>0.13850000000000001</v>
      </c>
      <c r="E422" s="26">
        <v>1248.3</v>
      </c>
      <c r="F422" s="26">
        <v>1317.4</v>
      </c>
      <c r="G422" s="34">
        <v>1.4077999999999999</v>
      </c>
    </row>
    <row r="423" spans="1:7" x14ac:dyDescent="0.2">
      <c r="A423" s="71" t="s">
        <v>80</v>
      </c>
      <c r="B423" s="17">
        <v>4800</v>
      </c>
      <c r="C423" s="26">
        <v>1100</v>
      </c>
      <c r="D423" s="26">
        <v>0.1608</v>
      </c>
      <c r="E423" s="26">
        <v>1315.3</v>
      </c>
      <c r="F423" s="26">
        <v>1458.1</v>
      </c>
      <c r="G423" s="34">
        <v>1.4653</v>
      </c>
    </row>
    <row r="424" spans="1:7" x14ac:dyDescent="0.2">
      <c r="A424" s="71" t="s">
        <v>80</v>
      </c>
      <c r="B424" s="17">
        <v>4800</v>
      </c>
      <c r="C424" s="26">
        <v>1200</v>
      </c>
      <c r="D424" s="26">
        <v>0.1802</v>
      </c>
      <c r="E424" s="26">
        <v>1375.4</v>
      </c>
      <c r="F424" s="26">
        <v>1535.4</v>
      </c>
      <c r="G424" s="34">
        <v>1.5133000000000001</v>
      </c>
    </row>
    <row r="425" spans="1:7" x14ac:dyDescent="0.2">
      <c r="A425" s="71" t="s">
        <v>80</v>
      </c>
      <c r="B425" s="17">
        <v>4800</v>
      </c>
      <c r="C425" s="26">
        <v>1300</v>
      </c>
      <c r="D425" s="26">
        <v>0.19789999999999999</v>
      </c>
      <c r="E425" s="26">
        <v>1431.7</v>
      </c>
      <c r="F425" s="26">
        <v>1607.4</v>
      </c>
      <c r="G425" s="34">
        <v>1.5555000000000001</v>
      </c>
    </row>
    <row r="426" spans="1:7" x14ac:dyDescent="0.2">
      <c r="A426" s="71" t="s">
        <v>80</v>
      </c>
      <c r="B426" s="17">
        <v>4800</v>
      </c>
      <c r="C426" s="26">
        <v>1400</v>
      </c>
      <c r="D426" s="26">
        <v>0.21429999999999999</v>
      </c>
      <c r="E426" s="26">
        <v>1485.7</v>
      </c>
      <c r="F426" s="26">
        <v>1676.1</v>
      </c>
      <c r="G426" s="34">
        <v>1.5933999999999999</v>
      </c>
    </row>
    <row r="427" spans="1:7" x14ac:dyDescent="0.2">
      <c r="A427" s="71" t="s">
        <v>80</v>
      </c>
      <c r="B427" s="17">
        <v>4800</v>
      </c>
      <c r="C427" s="26">
        <v>1500</v>
      </c>
      <c r="D427" s="26">
        <v>0.23</v>
      </c>
      <c r="E427" s="26">
        <v>1538.2</v>
      </c>
      <c r="F427" s="26">
        <v>1742.5</v>
      </c>
      <c r="G427" s="34">
        <v>1.6282000000000001</v>
      </c>
    </row>
    <row r="428" spans="1:7" x14ac:dyDescent="0.2">
      <c r="A428" s="73" t="s">
        <v>80</v>
      </c>
      <c r="B428" s="18">
        <v>4800</v>
      </c>
      <c r="C428" s="30">
        <v>1600</v>
      </c>
      <c r="D428" s="30">
        <v>0.245</v>
      </c>
      <c r="E428" s="30">
        <v>1589.8</v>
      </c>
      <c r="F428" s="30">
        <v>1807.4</v>
      </c>
      <c r="G428" s="35">
        <v>1.6605000000000001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showGridLines="0" workbookViewId="0">
      <selection activeCell="J109" sqref="J109"/>
    </sheetView>
  </sheetViews>
  <sheetFormatPr defaultRowHeight="11.25" x14ac:dyDescent="0.2"/>
  <cols>
    <col min="2" max="2" width="11.5" customWidth="1"/>
    <col min="5" max="5" width="10.5" customWidth="1"/>
    <col min="6" max="6" width="10.6640625" customWidth="1"/>
    <col min="7" max="7" width="10.1640625" customWidth="1"/>
    <col min="8" max="8" width="12.5" customWidth="1"/>
    <col min="13" max="13" width="11.1640625" customWidth="1"/>
    <col min="14" max="14" width="10.1640625" customWidth="1"/>
    <col min="15" max="15" width="10.6640625" customWidth="1"/>
    <col min="16" max="16" width="11.33203125" customWidth="1"/>
  </cols>
  <sheetData>
    <row r="1" spans="1:16" ht="15.75" x14ac:dyDescent="0.25">
      <c r="A1" s="10" t="s">
        <v>81</v>
      </c>
    </row>
    <row r="2" spans="1:16" ht="15.75" x14ac:dyDescent="0.25">
      <c r="A2" s="10" t="s">
        <v>82</v>
      </c>
    </row>
    <row r="3" spans="1:16" ht="15.75" x14ac:dyDescent="0.25">
      <c r="A3" s="74" t="s">
        <v>83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1"/>
    </row>
    <row r="4" spans="1:16" x14ac:dyDescent="0.2">
      <c r="A4" s="40">
        <v>157</v>
      </c>
      <c r="B4" s="36" t="s">
        <v>35</v>
      </c>
      <c r="C4" s="45" t="s">
        <v>35</v>
      </c>
      <c r="D4" s="45" t="s">
        <v>84</v>
      </c>
      <c r="E4" s="75" t="s">
        <v>37</v>
      </c>
      <c r="F4" s="76" t="s">
        <v>38</v>
      </c>
      <c r="G4" s="76" t="s">
        <v>39</v>
      </c>
      <c r="H4" s="77" t="s">
        <v>40</v>
      </c>
      <c r="I4" s="101" t="s">
        <v>126</v>
      </c>
      <c r="J4" s="50"/>
      <c r="K4" s="50"/>
      <c r="L4" s="50"/>
      <c r="M4" s="50"/>
      <c r="N4" s="50"/>
      <c r="O4" s="50"/>
      <c r="P4" s="51"/>
    </row>
    <row r="5" spans="1:16" x14ac:dyDescent="0.2">
      <c r="A5" s="40">
        <v>367</v>
      </c>
      <c r="B5" s="36" t="s">
        <v>84</v>
      </c>
      <c r="C5" s="79">
        <f>A4</f>
        <v>157</v>
      </c>
      <c r="D5" s="79">
        <f>D52</f>
        <v>367</v>
      </c>
      <c r="E5" s="80">
        <f t="shared" ref="E5:H5" si="0">E52</f>
        <v>2.9182184393964246</v>
      </c>
      <c r="F5" s="79">
        <f t="shared" si="0"/>
        <v>1114.0168738723962</v>
      </c>
      <c r="G5" s="79">
        <f t="shared" si="0"/>
        <v>1198.6189265212399</v>
      </c>
      <c r="H5" s="81">
        <f t="shared" si="0"/>
        <v>1.5702680063965884</v>
      </c>
      <c r="I5" s="101" t="s">
        <v>202</v>
      </c>
      <c r="J5" s="50"/>
      <c r="K5" s="50"/>
      <c r="L5" s="50"/>
      <c r="M5" s="50"/>
      <c r="N5" s="50"/>
      <c r="O5" s="50"/>
      <c r="P5" s="51"/>
    </row>
    <row r="6" spans="1:16" x14ac:dyDescent="0.2">
      <c r="A6" s="82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34"/>
    </row>
    <row r="7" spans="1:16" x14ac:dyDescent="0.2">
      <c r="A7" s="36">
        <f>MATCH(A4,SuperheatedEnglish!A:A)</f>
        <v>119</v>
      </c>
      <c r="B7" s="26" t="s">
        <v>85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4"/>
    </row>
    <row r="8" spans="1:16" x14ac:dyDescent="0.2">
      <c r="A8" s="36">
        <f>INDEX(SuperheatedEnglish!B:B,A7)</f>
        <v>140</v>
      </c>
      <c r="B8" s="26" t="s">
        <v>86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34"/>
    </row>
    <row r="9" spans="1:16" x14ac:dyDescent="0.2">
      <c r="A9" s="36">
        <f>COUNTIF(SuperheatedEnglish!B:B,A8)</f>
        <v>12</v>
      </c>
      <c r="B9" s="26" t="s">
        <v>87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34"/>
    </row>
    <row r="10" spans="1:16" x14ac:dyDescent="0.2">
      <c r="A10" s="36">
        <f>A7+A9</f>
        <v>131</v>
      </c>
      <c r="B10" s="26" t="s">
        <v>88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34"/>
    </row>
    <row r="11" spans="1:16" x14ac:dyDescent="0.2">
      <c r="A11" s="36">
        <f>INDEX(SuperheatedEnglish!B:B,A10)</f>
        <v>160</v>
      </c>
      <c r="B11" s="26" t="s">
        <v>89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34"/>
    </row>
    <row r="12" spans="1:16" x14ac:dyDescent="0.2">
      <c r="A12" s="36">
        <f>COUNTIF(SuperheatedEnglish!B:B,A11)</f>
        <v>12</v>
      </c>
      <c r="B12" s="26" t="s">
        <v>90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4"/>
    </row>
    <row r="13" spans="1:16" x14ac:dyDescent="0.2">
      <c r="A13" s="36" t="b">
        <f>AND(A8&lt;=A4,A11&gt;A4)</f>
        <v>1</v>
      </c>
      <c r="B13" s="26" t="s">
        <v>91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34"/>
    </row>
    <row r="14" spans="1:16" x14ac:dyDescent="0.2">
      <c r="A14" s="8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4"/>
    </row>
    <row r="15" spans="1:16" x14ac:dyDescent="0.2">
      <c r="A15" s="82"/>
      <c r="B15" s="46" t="s">
        <v>92</v>
      </c>
      <c r="C15" s="50"/>
      <c r="D15" s="47">
        <f>A8</f>
        <v>140</v>
      </c>
      <c r="E15" s="47" t="s">
        <v>221</v>
      </c>
      <c r="F15" s="47"/>
      <c r="G15" s="47"/>
      <c r="H15" s="48"/>
      <c r="I15" s="162"/>
      <c r="J15" s="46" t="s">
        <v>93</v>
      </c>
      <c r="K15" s="47"/>
      <c r="L15" s="47">
        <f>A11</f>
        <v>160</v>
      </c>
      <c r="M15" s="47" t="s">
        <v>221</v>
      </c>
      <c r="N15" s="50"/>
      <c r="O15" s="50"/>
      <c r="P15" s="51"/>
    </row>
    <row r="16" spans="1:16" x14ac:dyDescent="0.2">
      <c r="A16" s="45" t="s">
        <v>42</v>
      </c>
      <c r="B16" s="36" t="s">
        <v>94</v>
      </c>
      <c r="C16" s="36" t="s">
        <v>95</v>
      </c>
      <c r="D16" s="45" t="s">
        <v>84</v>
      </c>
      <c r="E16" s="75" t="s">
        <v>37</v>
      </c>
      <c r="F16" s="76" t="s">
        <v>38</v>
      </c>
      <c r="G16" s="76" t="s">
        <v>39</v>
      </c>
      <c r="H16" s="77" t="s">
        <v>40</v>
      </c>
      <c r="I16" s="26"/>
      <c r="J16" s="36" t="s">
        <v>94</v>
      </c>
      <c r="K16" s="36" t="s">
        <v>95</v>
      </c>
      <c r="L16" s="45" t="s">
        <v>84</v>
      </c>
      <c r="M16" s="75" t="s">
        <v>37</v>
      </c>
      <c r="N16" s="76" t="s">
        <v>38</v>
      </c>
      <c r="O16" s="76" t="s">
        <v>39</v>
      </c>
      <c r="P16" s="77" t="s">
        <v>40</v>
      </c>
    </row>
    <row r="17" spans="1:16" x14ac:dyDescent="0.2">
      <c r="A17" s="45">
        <v>1</v>
      </c>
      <c r="B17" s="83">
        <f>A7</f>
        <v>119</v>
      </c>
      <c r="C17" s="36" t="b">
        <f>ISNUMBER(B17)</f>
        <v>1</v>
      </c>
      <c r="D17" s="4">
        <f>IF($C17,INDEX(SuperheatedEnglish!C:C,$B17),"-")</f>
        <v>353.1</v>
      </c>
      <c r="E17" s="41">
        <f>IF($C17,INDEX(SuperheatedEnglish!D:D,$B17),"-")</f>
        <v>3.2210000000000001</v>
      </c>
      <c r="F17" s="4">
        <f>IF($C17,INDEX(SuperheatedEnglish!E:E,$B17),"-")</f>
        <v>1110.3</v>
      </c>
      <c r="G17" s="4">
        <f>IF($C17,INDEX(SuperheatedEnglish!F:F,$B17),"-")</f>
        <v>1193.8</v>
      </c>
      <c r="H17" s="39">
        <f>IF($C17,INDEX(SuperheatedEnglish!G:G,$B17),"-")</f>
        <v>1.5761000000000001</v>
      </c>
      <c r="I17" s="26"/>
      <c r="J17" s="83">
        <f>A10</f>
        <v>131</v>
      </c>
      <c r="K17" s="36" t="b">
        <f>ISNUMBER(J17)</f>
        <v>1</v>
      </c>
      <c r="L17" s="4">
        <f>IF($K17,INDEX(SuperheatedEnglish!C:C,$J17),"-")</f>
        <v>363.6</v>
      </c>
      <c r="M17" s="41">
        <f>IF($K17,INDEX(SuperheatedEnglish!D:D,$J17),"-")</f>
        <v>2.8359999999999999</v>
      </c>
      <c r="N17" s="4">
        <f>IF($K17,INDEX(SuperheatedEnglish!E:E,$J17),"-")</f>
        <v>1112</v>
      </c>
      <c r="O17" s="4">
        <f>IF($K17,INDEX(SuperheatedEnglish!F:F,$J17),"-")</f>
        <v>1196</v>
      </c>
      <c r="P17" s="39">
        <f>IF($K17,INDEX(SuperheatedEnglish!G:G,$J17),"-")</f>
        <v>1.5650999999999999</v>
      </c>
    </row>
    <row r="18" spans="1:16" x14ac:dyDescent="0.2">
      <c r="A18" s="45">
        <v>2</v>
      </c>
      <c r="B18" s="36">
        <f>IF($A18&gt;$A$9,"-",B17+1)</f>
        <v>120</v>
      </c>
      <c r="C18" s="36" t="b">
        <f t="shared" ref="C18:C36" si="1">ISNUMBER(B18)</f>
        <v>1</v>
      </c>
      <c r="D18" s="4">
        <f>IF($C18,INDEX(SuperheatedEnglish!C:C,$B18),"-")</f>
        <v>400</v>
      </c>
      <c r="E18" s="41">
        <f>IF($C18,INDEX(SuperheatedEnglish!D:D,$B18),"-")</f>
        <v>3.4660000000000002</v>
      </c>
      <c r="F18" s="4">
        <f>IF($C18,INDEX(SuperheatedEnglish!E:E,$B18),"-")</f>
        <v>1131.4000000000001</v>
      </c>
      <c r="G18" s="4">
        <f>IF($C18,INDEX(SuperheatedEnglish!F:F,$B18),"-")</f>
        <v>1221.2</v>
      </c>
      <c r="H18" s="39">
        <f>IF($C18,INDEX(SuperheatedEnglish!G:G,$B18),"-")</f>
        <v>1.6088</v>
      </c>
      <c r="I18" s="26"/>
      <c r="J18" s="36">
        <f>IF($A18&gt;$A$12,"-",J17+1)</f>
        <v>132</v>
      </c>
      <c r="K18" s="36" t="b">
        <f t="shared" ref="K18:K36" si="2">ISNUMBER(J18)</f>
        <v>1</v>
      </c>
      <c r="L18" s="4">
        <f>IF($K18,INDEX(SuperheatedEnglish!C:C,$J18),"-")</f>
        <v>400</v>
      </c>
      <c r="M18" s="41">
        <f>IF($K18,INDEX(SuperheatedEnglish!D:D,$J18),"-")</f>
        <v>3.0070000000000001</v>
      </c>
      <c r="N18" s="4">
        <f>IF($K18,INDEX(SuperheatedEnglish!E:E,$J18),"-")</f>
        <v>1128.8</v>
      </c>
      <c r="O18" s="4">
        <f>IF($K18,INDEX(SuperheatedEnglish!F:F,$J18),"-")</f>
        <v>1217.8</v>
      </c>
      <c r="P18" s="39">
        <f>IF($K18,INDEX(SuperheatedEnglish!G:G,$J18),"-")</f>
        <v>1.5911</v>
      </c>
    </row>
    <row r="19" spans="1:16" x14ac:dyDescent="0.2">
      <c r="A19" s="45">
        <v>3</v>
      </c>
      <c r="B19" s="36">
        <f t="shared" ref="B19:B36" si="3">IF($A19&gt;$A$9,"-",B18+1)</f>
        <v>121</v>
      </c>
      <c r="C19" s="36" t="b">
        <f t="shared" si="1"/>
        <v>1</v>
      </c>
      <c r="D19" s="4">
        <f>IF($C19,INDEX(SuperheatedEnglish!C:C,$B19),"-")</f>
        <v>450</v>
      </c>
      <c r="E19" s="41">
        <f>IF($C19,INDEX(SuperheatedEnglish!D:D,$B19),"-")</f>
        <v>3.7130000000000001</v>
      </c>
      <c r="F19" s="4">
        <f>IF($C19,INDEX(SuperheatedEnglish!E:E,$B19),"-")</f>
        <v>1152.4000000000001</v>
      </c>
      <c r="G19" s="4">
        <f>IF($C19,INDEX(SuperheatedEnglish!F:F,$B19),"-")</f>
        <v>1248.5999999999999</v>
      </c>
      <c r="H19" s="39">
        <f>IF($C19,INDEX(SuperheatedEnglish!G:G,$B19),"-")</f>
        <v>1.6398999999999999</v>
      </c>
      <c r="I19" s="26"/>
      <c r="J19" s="36">
        <f t="shared" ref="J19:J36" si="4">IF($A19&gt;$A$12,"-",J18+1)</f>
        <v>133</v>
      </c>
      <c r="K19" s="36" t="b">
        <f t="shared" si="2"/>
        <v>1</v>
      </c>
      <c r="L19" s="4">
        <f>IF($K19,INDEX(SuperheatedEnglish!C:C,$J19),"-")</f>
        <v>450</v>
      </c>
      <c r="M19" s="41">
        <f>IF($K19,INDEX(SuperheatedEnglish!D:D,$J19),"-")</f>
        <v>3.2280000000000002</v>
      </c>
      <c r="N19" s="4">
        <f>IF($K19,INDEX(SuperheatedEnglish!E:E,$J19),"-")</f>
        <v>1150.5</v>
      </c>
      <c r="O19" s="4">
        <f>IF($K19,INDEX(SuperheatedEnglish!F:F,$J19),"-")</f>
        <v>1246.0999999999999</v>
      </c>
      <c r="P19" s="39">
        <f>IF($K19,INDEX(SuperheatedEnglish!G:G,$J19),"-")</f>
        <v>1.623</v>
      </c>
    </row>
    <row r="20" spans="1:16" x14ac:dyDescent="0.2">
      <c r="A20" s="45">
        <v>4</v>
      </c>
      <c r="B20" s="36">
        <f t="shared" si="3"/>
        <v>122</v>
      </c>
      <c r="C20" s="36" t="b">
        <f t="shared" si="1"/>
        <v>1</v>
      </c>
      <c r="D20" s="4">
        <f>IF($C20,INDEX(SuperheatedEnglish!C:C,$B20),"-")</f>
        <v>500</v>
      </c>
      <c r="E20" s="41">
        <f>IF($C20,INDEX(SuperheatedEnglish!D:D,$B20),"-")</f>
        <v>3.952</v>
      </c>
      <c r="F20" s="4">
        <f>IF($C20,INDEX(SuperheatedEnglish!E:E,$B20),"-")</f>
        <v>1172.7</v>
      </c>
      <c r="G20" s="4">
        <f>IF($C20,INDEX(SuperheatedEnglish!F:F,$B20),"-")</f>
        <v>1275.0999999999999</v>
      </c>
      <c r="H20" s="39">
        <f>IF($C20,INDEX(SuperheatedEnglish!G:G,$B20),"-")</f>
        <v>1.6681999999999999</v>
      </c>
      <c r="I20" s="26"/>
      <c r="J20" s="36">
        <f t="shared" si="4"/>
        <v>134</v>
      </c>
      <c r="K20" s="36" t="b">
        <f t="shared" si="2"/>
        <v>1</v>
      </c>
      <c r="L20" s="4">
        <f>IF($K20,INDEX(SuperheatedEnglish!C:C,$J20),"-")</f>
        <v>500</v>
      </c>
      <c r="M20" s="41">
        <f>IF($K20,INDEX(SuperheatedEnglish!D:D,$J20),"-")</f>
        <v>3.44</v>
      </c>
      <c r="N20" s="4">
        <f>IF($K20,INDEX(SuperheatedEnglish!E:E,$J20),"-")</f>
        <v>1171.2</v>
      </c>
      <c r="O20" s="4">
        <f>IF($K20,INDEX(SuperheatedEnglish!F:F,$J20),"-")</f>
        <v>1273</v>
      </c>
      <c r="P20" s="39">
        <f>IF($K20,INDEX(SuperheatedEnglish!G:G,$J20),"-")</f>
        <v>1.6517999999999999</v>
      </c>
    </row>
    <row r="21" spans="1:16" x14ac:dyDescent="0.2">
      <c r="A21" s="45">
        <v>5</v>
      </c>
      <c r="B21" s="36">
        <f t="shared" si="3"/>
        <v>123</v>
      </c>
      <c r="C21" s="36" t="b">
        <f t="shared" si="1"/>
        <v>1</v>
      </c>
      <c r="D21" s="4">
        <f>IF($C21,INDEX(SuperheatedEnglish!C:C,$B21),"-")</f>
        <v>550</v>
      </c>
      <c r="E21" s="41">
        <f>IF($C21,INDEX(SuperheatedEnglish!D:D,$B21),"-")</f>
        <v>4.1840000000000002</v>
      </c>
      <c r="F21" s="4">
        <f>IF($C21,INDEX(SuperheatedEnglish!E:E,$B21),"-")</f>
        <v>1192.5</v>
      </c>
      <c r="G21" s="4">
        <f>IF($C21,INDEX(SuperheatedEnglish!F:F,$B21),"-")</f>
        <v>1300.9000000000001</v>
      </c>
      <c r="H21" s="39">
        <f>IF($C21,INDEX(SuperheatedEnglish!G:G,$B21),"-")</f>
        <v>1.6944999999999999</v>
      </c>
      <c r="I21" s="26"/>
      <c r="J21" s="36">
        <f t="shared" si="4"/>
        <v>135</v>
      </c>
      <c r="K21" s="36" t="b">
        <f t="shared" si="2"/>
        <v>1</v>
      </c>
      <c r="L21" s="4">
        <f>IF($K21,INDEX(SuperheatedEnglish!C:C,$J21),"-")</f>
        <v>550</v>
      </c>
      <c r="M21" s="41">
        <f>IF($K21,INDEX(SuperheatedEnglish!D:D,$J21),"-")</f>
        <v>3.6459999999999999</v>
      </c>
      <c r="N21" s="4">
        <f>IF($K21,INDEX(SuperheatedEnglish!E:E,$J21),"-")</f>
        <v>1191.3</v>
      </c>
      <c r="O21" s="4">
        <f>IF($K21,INDEX(SuperheatedEnglish!F:F,$J21),"-")</f>
        <v>1299.2</v>
      </c>
      <c r="P21" s="39">
        <f>IF($K21,INDEX(SuperheatedEnglish!G:G,$J21),"-")</f>
        <v>1.6785000000000001</v>
      </c>
    </row>
    <row r="22" spans="1:16" x14ac:dyDescent="0.2">
      <c r="A22" s="45">
        <v>6</v>
      </c>
      <c r="B22" s="36">
        <f t="shared" si="3"/>
        <v>124</v>
      </c>
      <c r="C22" s="36" t="b">
        <f t="shared" si="1"/>
        <v>1</v>
      </c>
      <c r="D22" s="4">
        <f>IF($C22,INDEX(SuperheatedEnglish!C:C,$B22),"-")</f>
        <v>600</v>
      </c>
      <c r="E22" s="41">
        <f>IF($C22,INDEX(SuperheatedEnglish!D:D,$B22),"-")</f>
        <v>4.4119999999999999</v>
      </c>
      <c r="F22" s="4">
        <f>IF($C22,INDEX(SuperheatedEnglish!E:E,$B22),"-")</f>
        <v>1212.0999999999999</v>
      </c>
      <c r="G22" s="4">
        <f>IF($C22,INDEX(SuperheatedEnglish!F:F,$B22),"-")</f>
        <v>1326.4</v>
      </c>
      <c r="H22" s="39">
        <f>IF($C22,INDEX(SuperheatedEnglish!G:G,$B22),"-")</f>
        <v>1.7191000000000001</v>
      </c>
      <c r="I22" s="26"/>
      <c r="J22" s="36">
        <f t="shared" si="4"/>
        <v>136</v>
      </c>
      <c r="K22" s="36" t="b">
        <f t="shared" si="2"/>
        <v>1</v>
      </c>
      <c r="L22" s="4">
        <f>IF($K22,INDEX(SuperheatedEnglish!C:C,$J22),"-")</f>
        <v>600</v>
      </c>
      <c r="M22" s="41">
        <f>IF($K22,INDEX(SuperheatedEnglish!D:D,$J22),"-")</f>
        <v>3.8479999999999999</v>
      </c>
      <c r="N22" s="4">
        <f>IF($K22,INDEX(SuperheatedEnglish!E:E,$J22),"-")</f>
        <v>1211.0999999999999</v>
      </c>
      <c r="O22" s="4">
        <f>IF($K22,INDEX(SuperheatedEnglish!F:F,$J22),"-")</f>
        <v>1325</v>
      </c>
      <c r="P22" s="39">
        <f>IF($K22,INDEX(SuperheatedEnglish!G:G,$J22),"-")</f>
        <v>1.7034</v>
      </c>
    </row>
    <row r="23" spans="1:16" x14ac:dyDescent="0.2">
      <c r="A23" s="45">
        <v>7</v>
      </c>
      <c r="B23" s="36">
        <f t="shared" si="3"/>
        <v>125</v>
      </c>
      <c r="C23" s="36" t="b">
        <f t="shared" si="1"/>
        <v>1</v>
      </c>
      <c r="D23" s="4">
        <f>IF($C23,INDEX(SuperheatedEnglish!C:C,$B23),"-")</f>
        <v>700</v>
      </c>
      <c r="E23" s="41">
        <f>IF($C23,INDEX(SuperheatedEnglish!D:D,$B23),"-")</f>
        <v>4.8600000000000003</v>
      </c>
      <c r="F23" s="4">
        <f>IF($C23,INDEX(SuperheatedEnglish!E:E,$B23),"-")</f>
        <v>1251.2</v>
      </c>
      <c r="G23" s="4">
        <f>IF($C23,INDEX(SuperheatedEnglish!F:F,$B23),"-")</f>
        <v>1377.1</v>
      </c>
      <c r="H23" s="39">
        <f>IF($C23,INDEX(SuperheatedEnglish!G:G,$B23),"-")</f>
        <v>1.7647999999999999</v>
      </c>
      <c r="I23" s="26"/>
      <c r="J23" s="36">
        <f t="shared" si="4"/>
        <v>137</v>
      </c>
      <c r="K23" s="36" t="b">
        <f t="shared" si="2"/>
        <v>1</v>
      </c>
      <c r="L23" s="4">
        <f>IF($K23,INDEX(SuperheatedEnglish!C:C,$J23),"-")</f>
        <v>700</v>
      </c>
      <c r="M23" s="41">
        <f>IF($K23,INDEX(SuperheatedEnglish!D:D,$J23),"-")</f>
        <v>4.2430000000000003</v>
      </c>
      <c r="N23" s="4">
        <f>IF($K23,INDEX(SuperheatedEnglish!E:E,$J23),"-")</f>
        <v>1250.4000000000001</v>
      </c>
      <c r="O23" s="4">
        <f>IF($K23,INDEX(SuperheatedEnglish!F:F,$J23),"-")</f>
        <v>1376</v>
      </c>
      <c r="P23" s="39">
        <f>IF($K23,INDEX(SuperheatedEnglish!G:G,$J23),"-")</f>
        <v>1.7494000000000001</v>
      </c>
    </row>
    <row r="24" spans="1:16" x14ac:dyDescent="0.2">
      <c r="A24" s="45">
        <v>8</v>
      </c>
      <c r="B24" s="36">
        <f t="shared" si="3"/>
        <v>126</v>
      </c>
      <c r="C24" s="36" t="b">
        <f t="shared" si="1"/>
        <v>1</v>
      </c>
      <c r="D24" s="4">
        <f>IF($C24,INDEX(SuperheatedEnglish!C:C,$B24),"-")</f>
        <v>800</v>
      </c>
      <c r="E24" s="41">
        <f>IF($C24,INDEX(SuperheatedEnglish!D:D,$B24),"-")</f>
        <v>5.3010000000000002</v>
      </c>
      <c r="F24" s="4">
        <f>IF($C24,INDEX(SuperheatedEnglish!E:E,$B24),"-")</f>
        <v>1290.5</v>
      </c>
      <c r="G24" s="4">
        <f>IF($C24,INDEX(SuperheatedEnglish!F:F,$B24),"-")</f>
        <v>1427.9</v>
      </c>
      <c r="H24" s="39">
        <f>IF($C24,INDEX(SuperheatedEnglish!G:G,$B24),"-")</f>
        <v>1.8068</v>
      </c>
      <c r="I24" s="26"/>
      <c r="J24" s="36">
        <f t="shared" si="4"/>
        <v>138</v>
      </c>
      <c r="K24" s="36" t="b">
        <f t="shared" si="2"/>
        <v>1</v>
      </c>
      <c r="L24" s="4">
        <f>IF($K24,INDEX(SuperheatedEnglish!C:C,$J24),"-")</f>
        <v>800</v>
      </c>
      <c r="M24" s="41">
        <f>IF($K24,INDEX(SuperheatedEnglish!D:D,$J24),"-")</f>
        <v>4.6310000000000002</v>
      </c>
      <c r="N24" s="4">
        <f>IF($K24,INDEX(SuperheatedEnglish!E:E,$J24),"-")</f>
        <v>1289.9000000000001</v>
      </c>
      <c r="O24" s="4">
        <f>IF($K24,INDEX(SuperheatedEnglish!F:F,$J24),"-")</f>
        <v>1427</v>
      </c>
      <c r="P24" s="39">
        <f>IF($K24,INDEX(SuperheatedEnglish!G:G,$J24),"-")</f>
        <v>1.7916000000000001</v>
      </c>
    </row>
    <row r="25" spans="1:16" x14ac:dyDescent="0.2">
      <c r="A25" s="45">
        <v>9</v>
      </c>
      <c r="B25" s="36">
        <f t="shared" si="3"/>
        <v>127</v>
      </c>
      <c r="C25" s="36" t="b">
        <f t="shared" si="1"/>
        <v>1</v>
      </c>
      <c r="D25" s="4">
        <f>IF($C25,INDEX(SuperheatedEnglish!C:C,$B25),"-")</f>
        <v>900</v>
      </c>
      <c r="E25" s="41">
        <f>IF($C25,INDEX(SuperheatedEnglish!D:D,$B25),"-")</f>
        <v>5.7389999999999999</v>
      </c>
      <c r="F25" s="4">
        <f>IF($C25,INDEX(SuperheatedEnglish!E:E,$B25),"-")</f>
        <v>1330.4</v>
      </c>
      <c r="G25" s="4">
        <f>IF($C25,INDEX(SuperheatedEnglish!F:F,$B25),"-")</f>
        <v>1479.1</v>
      </c>
      <c r="H25" s="39">
        <f>IF($C25,INDEX(SuperheatedEnglish!G:G,$B25),"-")</f>
        <v>1.8459000000000001</v>
      </c>
      <c r="I25" s="26"/>
      <c r="J25" s="36">
        <f t="shared" si="4"/>
        <v>139</v>
      </c>
      <c r="K25" s="36" t="b">
        <f t="shared" si="2"/>
        <v>1</v>
      </c>
      <c r="L25" s="4">
        <f>IF($K25,INDEX(SuperheatedEnglish!C:C,$J25),"-")</f>
        <v>900</v>
      </c>
      <c r="M25" s="41">
        <f>IF($K25,INDEX(SuperheatedEnglish!D:D,$J25),"-")</f>
        <v>5.0149999999999997</v>
      </c>
      <c r="N25" s="4">
        <f>IF($K25,INDEX(SuperheatedEnglish!E:E,$J25),"-")</f>
        <v>1329.9</v>
      </c>
      <c r="O25" s="4">
        <f>IF($K25,INDEX(SuperheatedEnglish!F:F,$J25),"-")</f>
        <v>1478.4</v>
      </c>
      <c r="P25" s="39">
        <f>IF($K25,INDEX(SuperheatedEnglish!G:G,$J25),"-")</f>
        <v>1.8308</v>
      </c>
    </row>
    <row r="26" spans="1:16" x14ac:dyDescent="0.2">
      <c r="A26" s="45">
        <v>10</v>
      </c>
      <c r="B26" s="36">
        <f t="shared" si="3"/>
        <v>128</v>
      </c>
      <c r="C26" s="36" t="b">
        <f t="shared" si="1"/>
        <v>1</v>
      </c>
      <c r="D26" s="4">
        <f>IF($C26,INDEX(SuperheatedEnglish!C:C,$B26),"-")</f>
        <v>1000</v>
      </c>
      <c r="E26" s="41">
        <f>IF($C26,INDEX(SuperheatedEnglish!D:D,$B26),"-")</f>
        <v>6.173</v>
      </c>
      <c r="F26" s="4">
        <f>IF($C26,INDEX(SuperheatedEnglish!E:E,$B26),"-")</f>
        <v>1371</v>
      </c>
      <c r="G26" s="4">
        <f>IF($C26,INDEX(SuperheatedEnglish!F:F,$B26),"-")</f>
        <v>1531</v>
      </c>
      <c r="H26" s="39">
        <f>IF($C26,INDEX(SuperheatedEnglish!G:G,$B26),"-")</f>
        <v>1.8827</v>
      </c>
      <c r="I26" s="26"/>
      <c r="J26" s="36">
        <f t="shared" si="4"/>
        <v>140</v>
      </c>
      <c r="K26" s="36" t="b">
        <f t="shared" si="2"/>
        <v>1</v>
      </c>
      <c r="L26" s="4">
        <f>IF($K26,INDEX(SuperheatedEnglish!C:C,$J26),"-")</f>
        <v>1000</v>
      </c>
      <c r="M26" s="41">
        <f>IF($K26,INDEX(SuperheatedEnglish!D:D,$J26),"-")</f>
        <v>5.3970000000000002</v>
      </c>
      <c r="N26" s="4">
        <f>IF($K26,INDEX(SuperheatedEnglish!E:E,$J26),"-")</f>
        <v>1370.6</v>
      </c>
      <c r="O26" s="4">
        <f>IF($K26,INDEX(SuperheatedEnglish!F:F,$J26),"-")</f>
        <v>1530.4</v>
      </c>
      <c r="P26" s="39">
        <f>IF($K26,INDEX(SuperheatedEnglish!G:G,$J26),"-")</f>
        <v>1.8676999999999999</v>
      </c>
    </row>
    <row r="27" spans="1:16" x14ac:dyDescent="0.2">
      <c r="A27" s="45">
        <v>11</v>
      </c>
      <c r="B27" s="36">
        <f t="shared" si="3"/>
        <v>129</v>
      </c>
      <c r="C27" s="36" t="b">
        <f t="shared" si="1"/>
        <v>1</v>
      </c>
      <c r="D27" s="4">
        <f>IF($C27,INDEX(SuperheatedEnglish!C:C,$B27),"-")</f>
        <v>1100</v>
      </c>
      <c r="E27" s="41">
        <f>IF($C27,INDEX(SuperheatedEnglish!D:D,$B27),"-")</f>
        <v>6.6050000000000004</v>
      </c>
      <c r="F27" s="4">
        <f>IF($C27,INDEX(SuperheatedEnglish!E:E,$B27),"-")</f>
        <v>1412.4</v>
      </c>
      <c r="G27" s="4">
        <f>IF($C27,INDEX(SuperheatedEnglish!F:F,$B27),"-")</f>
        <v>1583.6</v>
      </c>
      <c r="H27" s="39">
        <f>IF($C27,INDEX(SuperheatedEnglish!G:G,$B27),"-")</f>
        <v>1.9176</v>
      </c>
      <c r="I27" s="26"/>
      <c r="J27" s="36">
        <f t="shared" si="4"/>
        <v>141</v>
      </c>
      <c r="K27" s="36" t="b">
        <f t="shared" si="2"/>
        <v>1</v>
      </c>
      <c r="L27" s="4">
        <f>IF($K27,INDEX(SuperheatedEnglish!C:C,$J27),"-")</f>
        <v>1100</v>
      </c>
      <c r="M27" s="41">
        <f>IF($K27,INDEX(SuperheatedEnglish!D:D,$J27),"-")</f>
        <v>5.7759999999999998</v>
      </c>
      <c r="N27" s="4">
        <f>IF($K27,INDEX(SuperheatedEnglish!E:E,$J27),"-")</f>
        <v>1412.1</v>
      </c>
      <c r="O27" s="4">
        <f>IF($K27,INDEX(SuperheatedEnglish!F:F,$J27),"-")</f>
        <v>1583.1</v>
      </c>
      <c r="P27" s="39">
        <f>IF($K27,INDEX(SuperheatedEnglish!G:G,$J27),"-")</f>
        <v>1.9026000000000001</v>
      </c>
    </row>
    <row r="28" spans="1:16" x14ac:dyDescent="0.2">
      <c r="A28" s="45">
        <v>12</v>
      </c>
      <c r="B28" s="36">
        <f t="shared" si="3"/>
        <v>130</v>
      </c>
      <c r="C28" s="36" t="b">
        <f t="shared" si="1"/>
        <v>1</v>
      </c>
      <c r="D28" s="4">
        <f>IF($C28,INDEX(SuperheatedEnglish!C:C,$B28),"-")</f>
        <v>1200</v>
      </c>
      <c r="E28" s="41">
        <f>IF($C28,INDEX(SuperheatedEnglish!D:D,$B28),"-")</f>
        <v>7.0359999999999996</v>
      </c>
      <c r="F28" s="4">
        <f>IF($C28,INDEX(SuperheatedEnglish!E:E,$B28),"-")</f>
        <v>1454.6</v>
      </c>
      <c r="G28" s="4">
        <f>IF($C28,INDEX(SuperheatedEnglish!F:F,$B28),"-")</f>
        <v>1636.9</v>
      </c>
      <c r="H28" s="39">
        <f>IF($C28,INDEX(SuperheatedEnglish!G:G,$B28),"-")</f>
        <v>1.9507000000000001</v>
      </c>
      <c r="I28" s="26"/>
      <c r="J28" s="36">
        <f t="shared" si="4"/>
        <v>142</v>
      </c>
      <c r="K28" s="36" t="b">
        <f t="shared" si="2"/>
        <v>1</v>
      </c>
      <c r="L28" s="4">
        <f>IF($K28,INDEX(SuperheatedEnglish!C:C,$J28),"-")</f>
        <v>1200</v>
      </c>
      <c r="M28" s="41">
        <f>IF($K28,INDEX(SuperheatedEnglish!D:D,$J28),"-")</f>
        <v>6.1539999999999999</v>
      </c>
      <c r="N28" s="4">
        <f>IF($K28,INDEX(SuperheatedEnglish!E:E,$J28),"-")</f>
        <v>1454.3</v>
      </c>
      <c r="O28" s="4">
        <f>IF($K28,INDEX(SuperheatedEnglish!F:F,$J28),"-")</f>
        <v>1636.5</v>
      </c>
      <c r="P28" s="39">
        <f>IF($K28,INDEX(SuperheatedEnglish!G:G,$J28),"-")</f>
        <v>1.9358</v>
      </c>
    </row>
    <row r="29" spans="1:16" x14ac:dyDescent="0.2">
      <c r="A29" s="45">
        <v>13</v>
      </c>
      <c r="B29" s="36" t="str">
        <f t="shared" si="3"/>
        <v>-</v>
      </c>
      <c r="C29" s="36" t="b">
        <f t="shared" si="1"/>
        <v>0</v>
      </c>
      <c r="D29" s="4" t="str">
        <f>IF($C29,INDEX(SuperheatedEnglish!C:C,$B29),"-")</f>
        <v>-</v>
      </c>
      <c r="E29" s="41" t="str">
        <f>IF($C29,INDEX(SuperheatedEnglish!D:D,$B29),"-")</f>
        <v>-</v>
      </c>
      <c r="F29" s="4" t="str">
        <f>IF($C29,INDEX(SuperheatedEnglish!E:E,$B29),"-")</f>
        <v>-</v>
      </c>
      <c r="G29" s="4" t="str">
        <f>IF($C29,INDEX(SuperheatedEnglish!F:F,$B29),"-")</f>
        <v>-</v>
      </c>
      <c r="H29" s="39" t="str">
        <f>IF($C29,INDEX(SuperheatedEnglish!G:G,$B29),"-")</f>
        <v>-</v>
      </c>
      <c r="I29" s="26"/>
      <c r="J29" s="36" t="str">
        <f t="shared" si="4"/>
        <v>-</v>
      </c>
      <c r="K29" s="36" t="b">
        <f t="shared" si="2"/>
        <v>0</v>
      </c>
      <c r="L29" s="4" t="str">
        <f>IF($K29,INDEX(SuperheatedEnglish!C:C,$J29),"-")</f>
        <v>-</v>
      </c>
      <c r="M29" s="41" t="str">
        <f>IF($K29,INDEX(SuperheatedEnglish!D:D,$J29),"-")</f>
        <v>-</v>
      </c>
      <c r="N29" s="4" t="str">
        <f>IF($K29,INDEX(SuperheatedEnglish!E:E,$J29),"-")</f>
        <v>-</v>
      </c>
      <c r="O29" s="4" t="str">
        <f>IF($K29,INDEX(SuperheatedEnglish!F:F,$J29),"-")</f>
        <v>-</v>
      </c>
      <c r="P29" s="39" t="str">
        <f>IF($K29,INDEX(SuperheatedEnglish!G:G,$J29),"-")</f>
        <v>-</v>
      </c>
    </row>
    <row r="30" spans="1:16" x14ac:dyDescent="0.2">
      <c r="A30" s="45">
        <v>14</v>
      </c>
      <c r="B30" s="36" t="str">
        <f t="shared" si="3"/>
        <v>-</v>
      </c>
      <c r="C30" s="36" t="b">
        <f t="shared" si="1"/>
        <v>0</v>
      </c>
      <c r="D30" s="4" t="str">
        <f>IF($C30,INDEX(SuperheatedEnglish!C:C,$B30),"-")</f>
        <v>-</v>
      </c>
      <c r="E30" s="41" t="str">
        <f>IF($C30,INDEX(SuperheatedEnglish!D:D,$B30),"-")</f>
        <v>-</v>
      </c>
      <c r="F30" s="4" t="str">
        <f>IF($C30,INDEX(SuperheatedEnglish!E:E,$B30),"-")</f>
        <v>-</v>
      </c>
      <c r="G30" s="4" t="str">
        <f>IF($C30,INDEX(SuperheatedEnglish!F:F,$B30),"-")</f>
        <v>-</v>
      </c>
      <c r="H30" s="39" t="str">
        <f>IF($C30,INDEX(SuperheatedEnglish!G:G,$B30),"-")</f>
        <v>-</v>
      </c>
      <c r="I30" s="26"/>
      <c r="J30" s="36" t="str">
        <f t="shared" si="4"/>
        <v>-</v>
      </c>
      <c r="K30" s="36" t="b">
        <f t="shared" si="2"/>
        <v>0</v>
      </c>
      <c r="L30" s="4" t="str">
        <f>IF($K30,INDEX(SuperheatedEnglish!C:C,$J30),"-")</f>
        <v>-</v>
      </c>
      <c r="M30" s="41" t="str">
        <f>IF($K30,INDEX(SuperheatedEnglish!D:D,$J30),"-")</f>
        <v>-</v>
      </c>
      <c r="N30" s="4" t="str">
        <f>IF($K30,INDEX(SuperheatedEnglish!E:E,$J30),"-")</f>
        <v>-</v>
      </c>
      <c r="O30" s="4" t="str">
        <f>IF($K30,INDEX(SuperheatedEnglish!F:F,$J30),"-")</f>
        <v>-</v>
      </c>
      <c r="P30" s="39" t="str">
        <f>IF($K30,INDEX(SuperheatedEnglish!G:G,$J30),"-")</f>
        <v>-</v>
      </c>
    </row>
    <row r="31" spans="1:16" x14ac:dyDescent="0.2">
      <c r="A31" s="45">
        <v>15</v>
      </c>
      <c r="B31" s="36" t="str">
        <f t="shared" si="3"/>
        <v>-</v>
      </c>
      <c r="C31" s="36" t="b">
        <f t="shared" si="1"/>
        <v>0</v>
      </c>
      <c r="D31" s="4" t="str">
        <f>IF($C31,INDEX(SuperheatedEnglish!C:C,$B31),"-")</f>
        <v>-</v>
      </c>
      <c r="E31" s="41" t="str">
        <f>IF($C31,INDEX(SuperheatedEnglish!D:D,$B31),"-")</f>
        <v>-</v>
      </c>
      <c r="F31" s="4" t="str">
        <f>IF($C31,INDEX(SuperheatedEnglish!E:E,$B31),"-")</f>
        <v>-</v>
      </c>
      <c r="G31" s="4" t="str">
        <f>IF($C31,INDEX(SuperheatedEnglish!F:F,$B31),"-")</f>
        <v>-</v>
      </c>
      <c r="H31" s="39" t="str">
        <f>IF($C31,INDEX(SuperheatedEnglish!G:G,$B31),"-")</f>
        <v>-</v>
      </c>
      <c r="I31" s="26"/>
      <c r="J31" s="36" t="str">
        <f t="shared" si="4"/>
        <v>-</v>
      </c>
      <c r="K31" s="36" t="b">
        <f t="shared" si="2"/>
        <v>0</v>
      </c>
      <c r="L31" s="4" t="str">
        <f>IF($K31,INDEX(SuperheatedEnglish!C:C,$J31),"-")</f>
        <v>-</v>
      </c>
      <c r="M31" s="41" t="str">
        <f>IF($K31,INDEX(SuperheatedEnglish!D:D,$J31),"-")</f>
        <v>-</v>
      </c>
      <c r="N31" s="4" t="str">
        <f>IF($K31,INDEX(SuperheatedEnglish!E:E,$J31),"-")</f>
        <v>-</v>
      </c>
      <c r="O31" s="4" t="str">
        <f>IF($K31,INDEX(SuperheatedEnglish!F:F,$J31),"-")</f>
        <v>-</v>
      </c>
      <c r="P31" s="39" t="str">
        <f>IF($K31,INDEX(SuperheatedEnglish!G:G,$J31),"-")</f>
        <v>-</v>
      </c>
    </row>
    <row r="32" spans="1:16" x14ac:dyDescent="0.2">
      <c r="A32" s="45">
        <v>16</v>
      </c>
      <c r="B32" s="36" t="str">
        <f t="shared" si="3"/>
        <v>-</v>
      </c>
      <c r="C32" s="36" t="b">
        <f t="shared" si="1"/>
        <v>0</v>
      </c>
      <c r="D32" s="4" t="str">
        <f>IF($C32,INDEX(SuperheatedEnglish!C:C,$B32),"-")</f>
        <v>-</v>
      </c>
      <c r="E32" s="41" t="str">
        <f>IF($C32,INDEX(SuperheatedEnglish!D:D,$B32),"-")</f>
        <v>-</v>
      </c>
      <c r="F32" s="4" t="str">
        <f>IF($C32,INDEX(SuperheatedEnglish!E:E,$B32),"-")</f>
        <v>-</v>
      </c>
      <c r="G32" s="4" t="str">
        <f>IF($C32,INDEX(SuperheatedEnglish!F:F,$B32),"-")</f>
        <v>-</v>
      </c>
      <c r="H32" s="39" t="str">
        <f>IF($C32,INDEX(SuperheatedEnglish!G:G,$B32),"-")</f>
        <v>-</v>
      </c>
      <c r="I32" s="26"/>
      <c r="J32" s="36" t="str">
        <f t="shared" si="4"/>
        <v>-</v>
      </c>
      <c r="K32" s="36" t="b">
        <f t="shared" si="2"/>
        <v>0</v>
      </c>
      <c r="L32" s="4" t="str">
        <f>IF($K32,INDEX(SuperheatedEnglish!C:C,$J32),"-")</f>
        <v>-</v>
      </c>
      <c r="M32" s="41" t="str">
        <f>IF($K32,INDEX(SuperheatedEnglish!D:D,$J32),"-")</f>
        <v>-</v>
      </c>
      <c r="N32" s="4" t="str">
        <f>IF($K32,INDEX(SuperheatedEnglish!E:E,$J32),"-")</f>
        <v>-</v>
      </c>
      <c r="O32" s="4" t="str">
        <f>IF($K32,INDEX(SuperheatedEnglish!F:F,$J32),"-")</f>
        <v>-</v>
      </c>
      <c r="P32" s="39" t="str">
        <f>IF($K32,INDEX(SuperheatedEnglish!G:G,$J32),"-")</f>
        <v>-</v>
      </c>
    </row>
    <row r="33" spans="1:16" x14ac:dyDescent="0.2">
      <c r="A33" s="45">
        <v>17</v>
      </c>
      <c r="B33" s="36" t="str">
        <f t="shared" si="3"/>
        <v>-</v>
      </c>
      <c r="C33" s="36" t="b">
        <f t="shared" si="1"/>
        <v>0</v>
      </c>
      <c r="D33" s="4" t="str">
        <f>IF($C33,INDEX(SuperheatedEnglish!C:C,$B33),"-")</f>
        <v>-</v>
      </c>
      <c r="E33" s="41" t="str">
        <f>IF($C33,INDEX(SuperheatedEnglish!D:D,$B33),"-")</f>
        <v>-</v>
      </c>
      <c r="F33" s="4" t="str">
        <f>IF($C33,INDEX(SuperheatedEnglish!E:E,$B33),"-")</f>
        <v>-</v>
      </c>
      <c r="G33" s="4" t="str">
        <f>IF($C33,INDEX(SuperheatedEnglish!F:F,$B33),"-")</f>
        <v>-</v>
      </c>
      <c r="H33" s="39" t="str">
        <f>IF($C33,INDEX(SuperheatedEnglish!G:G,$B33),"-")</f>
        <v>-</v>
      </c>
      <c r="I33" s="26"/>
      <c r="J33" s="36" t="str">
        <f t="shared" si="4"/>
        <v>-</v>
      </c>
      <c r="K33" s="36" t="b">
        <f t="shared" si="2"/>
        <v>0</v>
      </c>
      <c r="L33" s="4" t="str">
        <f>IF($K33,INDEX(SuperheatedEnglish!C:C,$J33),"-")</f>
        <v>-</v>
      </c>
      <c r="M33" s="41" t="str">
        <f>IF($K33,INDEX(SuperheatedEnglish!D:D,$J33),"-")</f>
        <v>-</v>
      </c>
      <c r="N33" s="4" t="str">
        <f>IF($K33,INDEX(SuperheatedEnglish!E:E,$J33),"-")</f>
        <v>-</v>
      </c>
      <c r="O33" s="4" t="str">
        <f>IF($K33,INDEX(SuperheatedEnglish!F:F,$J33),"-")</f>
        <v>-</v>
      </c>
      <c r="P33" s="39" t="str">
        <f>IF($K33,INDEX(SuperheatedEnglish!G:G,$J33),"-")</f>
        <v>-</v>
      </c>
    </row>
    <row r="34" spans="1:16" x14ac:dyDescent="0.2">
      <c r="A34" s="45">
        <v>18</v>
      </c>
      <c r="B34" s="36" t="str">
        <f t="shared" si="3"/>
        <v>-</v>
      </c>
      <c r="C34" s="36" t="b">
        <f t="shared" si="1"/>
        <v>0</v>
      </c>
      <c r="D34" s="4" t="str">
        <f>IF($C34,INDEX(SuperheatedEnglish!C:C,$B34),"-")</f>
        <v>-</v>
      </c>
      <c r="E34" s="41" t="str">
        <f>IF($C34,INDEX(SuperheatedEnglish!D:D,$B34),"-")</f>
        <v>-</v>
      </c>
      <c r="F34" s="4" t="str">
        <f>IF($C34,INDEX(SuperheatedEnglish!E:E,$B34),"-")</f>
        <v>-</v>
      </c>
      <c r="G34" s="4" t="str">
        <f>IF($C34,INDEX(SuperheatedEnglish!F:F,$B34),"-")</f>
        <v>-</v>
      </c>
      <c r="H34" s="39" t="str">
        <f>IF($C34,INDEX(SuperheatedEnglish!G:G,$B34),"-")</f>
        <v>-</v>
      </c>
      <c r="I34" s="26"/>
      <c r="J34" s="36" t="str">
        <f t="shared" si="4"/>
        <v>-</v>
      </c>
      <c r="K34" s="36" t="b">
        <f t="shared" si="2"/>
        <v>0</v>
      </c>
      <c r="L34" s="4" t="str">
        <f>IF($K34,INDEX(SuperheatedEnglish!C:C,$J34),"-")</f>
        <v>-</v>
      </c>
      <c r="M34" s="41" t="str">
        <f>IF($K34,INDEX(SuperheatedEnglish!D:D,$J34),"-")</f>
        <v>-</v>
      </c>
      <c r="N34" s="4" t="str">
        <f>IF($K34,INDEX(SuperheatedEnglish!E:E,$J34),"-")</f>
        <v>-</v>
      </c>
      <c r="O34" s="4" t="str">
        <f>IF($K34,INDEX(SuperheatedEnglish!F:F,$J34),"-")</f>
        <v>-</v>
      </c>
      <c r="P34" s="39" t="str">
        <f>IF($K34,INDEX(SuperheatedEnglish!G:G,$J34),"-")</f>
        <v>-</v>
      </c>
    </row>
    <row r="35" spans="1:16" x14ac:dyDescent="0.2">
      <c r="A35" s="45">
        <v>19</v>
      </c>
      <c r="B35" s="36" t="str">
        <f t="shared" si="3"/>
        <v>-</v>
      </c>
      <c r="C35" s="36" t="b">
        <f t="shared" si="1"/>
        <v>0</v>
      </c>
      <c r="D35" s="4" t="str">
        <f>IF($C35,INDEX(SuperheatedEnglish!C:C,$B35),"-")</f>
        <v>-</v>
      </c>
      <c r="E35" s="41" t="str">
        <f>IF($C35,INDEX(SuperheatedEnglish!D:D,$B35),"-")</f>
        <v>-</v>
      </c>
      <c r="F35" s="4" t="str">
        <f>IF($C35,INDEX(SuperheatedEnglish!E:E,$B35),"-")</f>
        <v>-</v>
      </c>
      <c r="G35" s="4" t="str">
        <f>IF($C35,INDEX(SuperheatedEnglish!F:F,$B35),"-")</f>
        <v>-</v>
      </c>
      <c r="H35" s="39" t="str">
        <f>IF($C35,INDEX(SuperheatedEnglish!G:G,$B35),"-")</f>
        <v>-</v>
      </c>
      <c r="I35" s="26"/>
      <c r="J35" s="36" t="str">
        <f t="shared" si="4"/>
        <v>-</v>
      </c>
      <c r="K35" s="36" t="b">
        <f t="shared" si="2"/>
        <v>0</v>
      </c>
      <c r="L35" s="4" t="str">
        <f>IF($K35,INDEX(SuperheatedEnglish!C:C,$J35),"-")</f>
        <v>-</v>
      </c>
      <c r="M35" s="41" t="str">
        <f>IF($K35,INDEX(SuperheatedEnglish!D:D,$J35),"-")</f>
        <v>-</v>
      </c>
      <c r="N35" s="4" t="str">
        <f>IF($K35,INDEX(SuperheatedEnglish!E:E,$J35),"-")</f>
        <v>-</v>
      </c>
      <c r="O35" s="4" t="str">
        <f>IF($K35,INDEX(SuperheatedEnglish!F:F,$J35),"-")</f>
        <v>-</v>
      </c>
      <c r="P35" s="39" t="str">
        <f>IF($K35,INDEX(SuperheatedEnglish!G:G,$J35),"-")</f>
        <v>-</v>
      </c>
    </row>
    <row r="36" spans="1:16" x14ac:dyDescent="0.2">
      <c r="A36" s="45">
        <v>20</v>
      </c>
      <c r="B36" s="36" t="str">
        <f t="shared" si="3"/>
        <v>-</v>
      </c>
      <c r="C36" s="36" t="b">
        <f t="shared" si="1"/>
        <v>0</v>
      </c>
      <c r="D36" s="4" t="str">
        <f>IF($C36,INDEX(SuperheatedEnglish!C:C,$B36),"-")</f>
        <v>-</v>
      </c>
      <c r="E36" s="41" t="str">
        <f>IF($C36,INDEX(SuperheatedEnglish!D:D,$B36),"-")</f>
        <v>-</v>
      </c>
      <c r="F36" s="4" t="str">
        <f>IF($C36,INDEX(SuperheatedEnglish!E:E,$B36),"-")</f>
        <v>-</v>
      </c>
      <c r="G36" s="4" t="str">
        <f>IF($C36,INDEX(SuperheatedEnglish!F:F,$B36),"-")</f>
        <v>-</v>
      </c>
      <c r="H36" s="39" t="str">
        <f>IF($C36,INDEX(SuperheatedEnglish!G:G,$B36),"-")</f>
        <v>-</v>
      </c>
      <c r="I36" s="26"/>
      <c r="J36" s="36" t="str">
        <f t="shared" si="4"/>
        <v>-</v>
      </c>
      <c r="K36" s="36" t="b">
        <f t="shared" si="2"/>
        <v>0</v>
      </c>
      <c r="L36" s="4" t="str">
        <f>IF($K36,INDEX(SuperheatedEnglish!C:C,$J36),"-")</f>
        <v>-</v>
      </c>
      <c r="M36" s="41" t="str">
        <f>IF($K36,INDEX(SuperheatedEnglish!D:D,$J36),"-")</f>
        <v>-</v>
      </c>
      <c r="N36" s="4" t="str">
        <f>IF($K36,INDEX(SuperheatedEnglish!E:E,$J36),"-")</f>
        <v>-</v>
      </c>
      <c r="O36" s="4" t="str">
        <f>IF($K36,INDEX(SuperheatedEnglish!F:F,$J36),"-")</f>
        <v>-</v>
      </c>
      <c r="P36" s="39" t="str">
        <f>IF($K36,INDEX(SuperheatedEnglish!G:G,$J36),"-")</f>
        <v>-</v>
      </c>
    </row>
    <row r="37" spans="1:16" x14ac:dyDescent="0.2">
      <c r="A37" s="82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34"/>
    </row>
    <row r="38" spans="1:16" x14ac:dyDescent="0.2">
      <c r="A38" s="83">
        <f>A5</f>
        <v>367</v>
      </c>
      <c r="B38" s="26" t="s">
        <v>96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34"/>
    </row>
    <row r="39" spans="1:16" x14ac:dyDescent="0.2">
      <c r="A39" s="82"/>
      <c r="B39" s="26"/>
      <c r="C39" s="84" t="s">
        <v>97</v>
      </c>
      <c r="D39" s="36">
        <f>MATCH($A38,D17:D36)</f>
        <v>1</v>
      </c>
      <c r="E39" s="26"/>
      <c r="F39" s="26"/>
      <c r="G39" s="26"/>
      <c r="H39" s="26"/>
      <c r="I39" s="26"/>
      <c r="J39" s="26"/>
      <c r="K39" s="84" t="s">
        <v>97</v>
      </c>
      <c r="L39" s="36">
        <f>MATCH($A38,L17:L36)</f>
        <v>1</v>
      </c>
      <c r="M39" s="26"/>
      <c r="N39" s="26"/>
      <c r="O39" s="26"/>
      <c r="P39" s="34"/>
    </row>
    <row r="40" spans="1:16" x14ac:dyDescent="0.2">
      <c r="A40" s="82"/>
      <c r="B40" s="26"/>
      <c r="C40" s="84" t="s">
        <v>98</v>
      </c>
      <c r="D40" s="4">
        <f>INDEX(D17:D36,$D$39)</f>
        <v>353.1</v>
      </c>
      <c r="E40" s="41">
        <f t="shared" ref="E40:H40" si="5">INDEX(E17:E36,$D$39)</f>
        <v>3.2210000000000001</v>
      </c>
      <c r="F40" s="4">
        <f t="shared" si="5"/>
        <v>1110.3</v>
      </c>
      <c r="G40" s="4">
        <f t="shared" si="5"/>
        <v>1193.8</v>
      </c>
      <c r="H40" s="39">
        <f t="shared" si="5"/>
        <v>1.5761000000000001</v>
      </c>
      <c r="I40" s="26"/>
      <c r="J40" s="26"/>
      <c r="K40" s="84" t="s">
        <v>98</v>
      </c>
      <c r="L40" s="4">
        <f>INDEX(L17:L36,$L$39)</f>
        <v>363.6</v>
      </c>
      <c r="M40" s="41">
        <f t="shared" ref="M40:P40" si="6">INDEX(M17:M36,$L$39)</f>
        <v>2.8359999999999999</v>
      </c>
      <c r="N40" s="4">
        <f t="shared" si="6"/>
        <v>1112</v>
      </c>
      <c r="O40" s="4">
        <f t="shared" si="6"/>
        <v>1196</v>
      </c>
      <c r="P40" s="39">
        <f t="shared" si="6"/>
        <v>1.5650999999999999</v>
      </c>
    </row>
    <row r="41" spans="1:16" x14ac:dyDescent="0.2">
      <c r="A41" s="82"/>
      <c r="B41" s="26"/>
      <c r="C41" s="84" t="s">
        <v>99</v>
      </c>
      <c r="D41" s="4">
        <f>$A38</f>
        <v>367</v>
      </c>
      <c r="E41" s="26"/>
      <c r="F41" s="26"/>
      <c r="G41" s="26"/>
      <c r="H41" s="26"/>
      <c r="I41" s="26"/>
      <c r="J41" s="26"/>
      <c r="K41" s="84" t="s">
        <v>99</v>
      </c>
      <c r="L41" s="4">
        <f>$A38</f>
        <v>367</v>
      </c>
      <c r="M41" s="26"/>
      <c r="N41" s="26"/>
      <c r="O41" s="26"/>
      <c r="P41" s="34"/>
    </row>
    <row r="42" spans="1:16" x14ac:dyDescent="0.2">
      <c r="A42" s="82"/>
      <c r="B42" s="26"/>
      <c r="C42" s="84" t="s">
        <v>100</v>
      </c>
      <c r="D42" s="4">
        <f>INDEX(D17:D36,$D$39+1)</f>
        <v>400</v>
      </c>
      <c r="E42" s="41">
        <f t="shared" ref="E42:H42" si="7">INDEX(E17:E36,$D$39+1)</f>
        <v>3.4660000000000002</v>
      </c>
      <c r="F42" s="4">
        <f t="shared" si="7"/>
        <v>1131.4000000000001</v>
      </c>
      <c r="G42" s="4">
        <f t="shared" si="7"/>
        <v>1221.2</v>
      </c>
      <c r="H42" s="39">
        <f t="shared" si="7"/>
        <v>1.6088</v>
      </c>
      <c r="I42" s="26"/>
      <c r="J42" s="26"/>
      <c r="K42" s="84" t="s">
        <v>100</v>
      </c>
      <c r="L42" s="4">
        <f>INDEX(L17:L36,$L$39+1)</f>
        <v>400</v>
      </c>
      <c r="M42" s="41">
        <f t="shared" ref="M42:P42" si="8">INDEX(M17:M36,$L$39+1)</f>
        <v>3.0070000000000001</v>
      </c>
      <c r="N42" s="4">
        <f t="shared" si="8"/>
        <v>1128.8</v>
      </c>
      <c r="O42" s="4">
        <f t="shared" si="8"/>
        <v>1217.8</v>
      </c>
      <c r="P42" s="39">
        <f t="shared" si="8"/>
        <v>1.5911</v>
      </c>
    </row>
    <row r="43" spans="1:16" x14ac:dyDescent="0.2">
      <c r="A43" s="82"/>
      <c r="B43" s="26"/>
      <c r="C43" s="84" t="s">
        <v>101</v>
      </c>
      <c r="D43" s="37">
        <f>(D41-D40)/(D42-D40)</f>
        <v>0.2963752665245199</v>
      </c>
      <c r="E43" s="26"/>
      <c r="F43" s="26"/>
      <c r="G43" s="26"/>
      <c r="H43" s="26"/>
      <c r="I43" s="26"/>
      <c r="J43" s="26"/>
      <c r="K43" s="84" t="s">
        <v>101</v>
      </c>
      <c r="L43" s="37">
        <f>(L41-L40)/(L42-L40)</f>
        <v>9.3406593406592839E-2</v>
      </c>
      <c r="M43" s="26"/>
      <c r="N43" s="26"/>
      <c r="O43" s="26"/>
      <c r="P43" s="34"/>
    </row>
    <row r="44" spans="1:16" x14ac:dyDescent="0.2">
      <c r="A44" s="82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34"/>
    </row>
    <row r="45" spans="1:16" x14ac:dyDescent="0.2">
      <c r="A45" s="82"/>
      <c r="B45" s="26"/>
      <c r="C45" s="26"/>
      <c r="D45" s="46" t="s">
        <v>102</v>
      </c>
      <c r="E45" s="50"/>
      <c r="F45" s="50"/>
      <c r="G45" s="50"/>
      <c r="H45" s="51"/>
      <c r="I45" s="26"/>
      <c r="J45" s="26"/>
      <c r="K45" s="26"/>
      <c r="L45" s="46" t="s">
        <v>103</v>
      </c>
      <c r="M45" s="50"/>
      <c r="N45" s="50"/>
      <c r="O45" s="50"/>
      <c r="P45" s="51"/>
    </row>
    <row r="46" spans="1:16" x14ac:dyDescent="0.2">
      <c r="A46" s="82"/>
      <c r="B46" s="26"/>
      <c r="C46" s="26"/>
      <c r="D46" s="45" t="s">
        <v>84</v>
      </c>
      <c r="E46" s="75" t="s">
        <v>37</v>
      </c>
      <c r="F46" s="76" t="s">
        <v>38</v>
      </c>
      <c r="G46" s="76" t="s">
        <v>39</v>
      </c>
      <c r="H46" s="77" t="s">
        <v>40</v>
      </c>
      <c r="I46" s="26"/>
      <c r="J46" s="26"/>
      <c r="K46" s="26"/>
      <c r="L46" s="45" t="s">
        <v>84</v>
      </c>
      <c r="M46" s="75" t="s">
        <v>37</v>
      </c>
      <c r="N46" s="76" t="s">
        <v>38</v>
      </c>
      <c r="O46" s="76" t="s">
        <v>39</v>
      </c>
      <c r="P46" s="77" t="s">
        <v>40</v>
      </c>
    </row>
    <row r="47" spans="1:16" x14ac:dyDescent="0.2">
      <c r="A47" s="82"/>
      <c r="B47" s="26"/>
      <c r="C47" s="26"/>
      <c r="D47" s="4">
        <f>D40+$D$43*(D42-D40)</f>
        <v>367</v>
      </c>
      <c r="E47" s="41">
        <f>E40+$D$43*(E42-E40)</f>
        <v>3.2936119402985073</v>
      </c>
      <c r="F47" s="4">
        <f>F40+$D$43*(F42-F40)</f>
        <v>1116.5535181236673</v>
      </c>
      <c r="G47" s="4">
        <f>G40+$D$43*(G42-G40)</f>
        <v>1201.9206823027719</v>
      </c>
      <c r="H47" s="39">
        <f>H40+$D$43*(H42-H40)</f>
        <v>1.5857914712153518</v>
      </c>
      <c r="I47" s="26"/>
      <c r="J47" s="26"/>
      <c r="K47" s="26"/>
      <c r="L47" s="4">
        <f>L40+$L$43*(L42-L40)</f>
        <v>367</v>
      </c>
      <c r="M47" s="41">
        <f>M40+$L$43*(M42-M40)</f>
        <v>2.8519725274725274</v>
      </c>
      <c r="N47" s="4">
        <f>N40+$L$43*(N42-N40)</f>
        <v>1113.5692307692307</v>
      </c>
      <c r="O47" s="4">
        <f>O40+$L$43*(O42-O40)</f>
        <v>1198.0362637362637</v>
      </c>
      <c r="P47" s="39">
        <f>P40+$L$43*(P42-P40)</f>
        <v>1.5675285714285714</v>
      </c>
    </row>
    <row r="48" spans="1:16" x14ac:dyDescent="0.2">
      <c r="A48" s="8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34"/>
    </row>
    <row r="49" spans="1:16" x14ac:dyDescent="0.2">
      <c r="A49" s="83">
        <f>A8</f>
        <v>140</v>
      </c>
      <c r="B49" s="26" t="s">
        <v>92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34"/>
    </row>
    <row r="50" spans="1:16" x14ac:dyDescent="0.2">
      <c r="A50" s="83">
        <f>A4</f>
        <v>157</v>
      </c>
      <c r="B50" s="26" t="s">
        <v>104</v>
      </c>
      <c r="C50" s="26"/>
      <c r="D50" s="46" t="s">
        <v>105</v>
      </c>
      <c r="E50" s="50"/>
      <c r="F50" s="50"/>
      <c r="G50" s="50"/>
      <c r="H50" s="51"/>
      <c r="I50" s="26"/>
      <c r="J50" s="26"/>
      <c r="K50" s="26"/>
      <c r="L50" s="26"/>
      <c r="M50" s="26"/>
      <c r="N50" s="26"/>
      <c r="O50" s="26"/>
      <c r="P50" s="34"/>
    </row>
    <row r="51" spans="1:16" x14ac:dyDescent="0.2">
      <c r="A51" s="83">
        <f>A11</f>
        <v>160</v>
      </c>
      <c r="B51" s="26" t="s">
        <v>106</v>
      </c>
      <c r="C51" s="26"/>
      <c r="D51" s="45" t="s">
        <v>84</v>
      </c>
      <c r="E51" s="75" t="s">
        <v>37</v>
      </c>
      <c r="F51" s="76" t="s">
        <v>38</v>
      </c>
      <c r="G51" s="76" t="s">
        <v>39</v>
      </c>
      <c r="H51" s="77" t="s">
        <v>40</v>
      </c>
      <c r="I51" s="26"/>
      <c r="J51" s="26"/>
      <c r="K51" s="26"/>
      <c r="L51" s="26"/>
      <c r="M51" s="26"/>
      <c r="N51" s="26"/>
      <c r="O51" s="26"/>
      <c r="P51" s="34"/>
    </row>
    <row r="52" spans="1:16" x14ac:dyDescent="0.2">
      <c r="A52" s="37">
        <f>(A50-A49)/(A51-A49)</f>
        <v>0.85</v>
      </c>
      <c r="B52" s="30" t="s">
        <v>101</v>
      </c>
      <c r="C52" s="30"/>
      <c r="D52" s="4">
        <f>D47+$A$52*(L47-D47)</f>
        <v>367</v>
      </c>
      <c r="E52" s="41">
        <f t="shared" ref="E52:H52" si="9">E47+$A$52*(M47-E47)</f>
        <v>2.9182184393964246</v>
      </c>
      <c r="F52" s="4">
        <f t="shared" si="9"/>
        <v>1114.0168738723962</v>
      </c>
      <c r="G52" s="4">
        <f t="shared" si="9"/>
        <v>1198.6189265212399</v>
      </c>
      <c r="H52" s="39">
        <f t="shared" si="9"/>
        <v>1.5702680063965884</v>
      </c>
      <c r="I52" s="30"/>
      <c r="J52" s="30"/>
      <c r="K52" s="30"/>
      <c r="L52" s="30"/>
      <c r="M52" s="30"/>
      <c r="N52" s="30"/>
      <c r="O52" s="30"/>
      <c r="P52" s="35"/>
    </row>
    <row r="54" spans="1:16" ht="15.75" x14ac:dyDescent="0.25">
      <c r="A54" s="74" t="s">
        <v>107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1"/>
    </row>
    <row r="55" spans="1:16" x14ac:dyDescent="0.2">
      <c r="A55" s="85">
        <v>193</v>
      </c>
      <c r="B55" s="18" t="s">
        <v>35</v>
      </c>
      <c r="C55" s="73" t="s">
        <v>27</v>
      </c>
      <c r="D55" s="45" t="s">
        <v>84</v>
      </c>
      <c r="E55" s="75" t="s">
        <v>37</v>
      </c>
      <c r="F55" s="76" t="s">
        <v>38</v>
      </c>
      <c r="G55" s="76" t="s">
        <v>39</v>
      </c>
      <c r="H55" s="77" t="s">
        <v>40</v>
      </c>
      <c r="I55" s="101" t="s">
        <v>127</v>
      </c>
      <c r="J55" s="50"/>
      <c r="K55" s="50"/>
      <c r="L55" s="50"/>
      <c r="M55" s="50"/>
      <c r="N55" s="50"/>
      <c r="O55" s="50"/>
      <c r="P55" s="51"/>
    </row>
    <row r="56" spans="1:16" x14ac:dyDescent="0.2">
      <c r="A56" s="44">
        <v>1.7</v>
      </c>
      <c r="B56" s="86" t="s">
        <v>40</v>
      </c>
      <c r="C56" s="79">
        <f>A55</f>
        <v>193</v>
      </c>
      <c r="D56" s="79">
        <f>D103</f>
        <v>640.50152754190333</v>
      </c>
      <c r="E56" s="80">
        <f t="shared" ref="E56:H56" si="10">E103</f>
        <v>3.3135233732370959</v>
      </c>
      <c r="F56" s="79">
        <f t="shared" si="10"/>
        <v>1225.4208961271506</v>
      </c>
      <c r="G56" s="79">
        <f t="shared" si="10"/>
        <v>1343.5050763770951</v>
      </c>
      <c r="H56" s="81">
        <f t="shared" si="10"/>
        <v>1.7</v>
      </c>
      <c r="I56" s="101" t="s">
        <v>202</v>
      </c>
      <c r="J56" s="50"/>
      <c r="K56" s="50"/>
      <c r="L56" s="50"/>
      <c r="M56" s="50"/>
      <c r="N56" s="50"/>
      <c r="O56" s="50"/>
      <c r="P56" s="51"/>
    </row>
    <row r="57" spans="1:16" x14ac:dyDescent="0.2">
      <c r="A57" s="82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34"/>
    </row>
    <row r="58" spans="1:16" x14ac:dyDescent="0.2">
      <c r="A58" s="36">
        <f>MATCH(A55,SuperheatedEnglish!A:A)</f>
        <v>143</v>
      </c>
      <c r="B58" s="26" t="s">
        <v>85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34"/>
    </row>
    <row r="59" spans="1:16" x14ac:dyDescent="0.2">
      <c r="A59" s="36">
        <f>INDEX(SuperheatedEnglish!B:B,A58)</f>
        <v>180</v>
      </c>
      <c r="B59" s="26" t="s">
        <v>86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34"/>
    </row>
    <row r="60" spans="1:16" x14ac:dyDescent="0.2">
      <c r="A60" s="36">
        <f>COUNTIF(SuperheatedEnglish!B:B,A59)</f>
        <v>12</v>
      </c>
      <c r="B60" s="26" t="s">
        <v>87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4"/>
    </row>
    <row r="61" spans="1:16" x14ac:dyDescent="0.2">
      <c r="A61" s="36">
        <f>A58+A60</f>
        <v>155</v>
      </c>
      <c r="B61" s="26" t="s">
        <v>88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34"/>
    </row>
    <row r="62" spans="1:16" x14ac:dyDescent="0.2">
      <c r="A62" s="36">
        <f>INDEX(SuperheatedEnglish!B:B,A61)</f>
        <v>200</v>
      </c>
      <c r="B62" s="26" t="s">
        <v>89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34"/>
    </row>
    <row r="63" spans="1:16" x14ac:dyDescent="0.2">
      <c r="A63" s="36">
        <f>COUNTIF(SuperheatedEnglish!B:B,A62)</f>
        <v>12</v>
      </c>
      <c r="B63" s="26" t="s">
        <v>90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34"/>
    </row>
    <row r="64" spans="1:16" x14ac:dyDescent="0.2">
      <c r="A64" s="36" t="b">
        <f>AND(A59&lt;=A55,A62&gt;A55)</f>
        <v>1</v>
      </c>
      <c r="B64" s="26" t="s">
        <v>91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34"/>
    </row>
    <row r="65" spans="1:16" x14ac:dyDescent="0.2">
      <c r="A65" s="82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34"/>
    </row>
    <row r="66" spans="1:16" x14ac:dyDescent="0.2">
      <c r="A66" s="82"/>
      <c r="B66" s="46" t="s">
        <v>92</v>
      </c>
      <c r="C66" s="50"/>
      <c r="D66" s="47">
        <f>A59</f>
        <v>180</v>
      </c>
      <c r="E66" s="47" t="s">
        <v>221</v>
      </c>
      <c r="F66" s="47"/>
      <c r="G66" s="47"/>
      <c r="H66" s="48"/>
      <c r="I66" s="162"/>
      <c r="J66" s="46" t="s">
        <v>93</v>
      </c>
      <c r="K66" s="47"/>
      <c r="L66" s="47">
        <f>A62</f>
        <v>200</v>
      </c>
      <c r="M66" s="47" t="s">
        <v>221</v>
      </c>
      <c r="N66" s="50"/>
      <c r="O66" s="50"/>
      <c r="P66" s="51"/>
    </row>
    <row r="67" spans="1:16" x14ac:dyDescent="0.2">
      <c r="A67" s="45" t="s">
        <v>42</v>
      </c>
      <c r="B67" s="36" t="s">
        <v>94</v>
      </c>
      <c r="C67" s="36" t="s">
        <v>95</v>
      </c>
      <c r="D67" s="45" t="s">
        <v>84</v>
      </c>
      <c r="E67" s="75" t="s">
        <v>37</v>
      </c>
      <c r="F67" s="76" t="s">
        <v>38</v>
      </c>
      <c r="G67" s="76" t="s">
        <v>39</v>
      </c>
      <c r="H67" s="77" t="s">
        <v>40</v>
      </c>
      <c r="I67" s="26"/>
      <c r="J67" s="36" t="s">
        <v>94</v>
      </c>
      <c r="K67" s="36" t="s">
        <v>95</v>
      </c>
      <c r="L67" s="45" t="s">
        <v>84</v>
      </c>
      <c r="M67" s="75" t="s">
        <v>37</v>
      </c>
      <c r="N67" s="76" t="s">
        <v>38</v>
      </c>
      <c r="O67" s="76" t="s">
        <v>39</v>
      </c>
      <c r="P67" s="77" t="s">
        <v>40</v>
      </c>
    </row>
    <row r="68" spans="1:16" x14ac:dyDescent="0.2">
      <c r="A68" s="45">
        <v>1</v>
      </c>
      <c r="B68" s="83">
        <f>A58</f>
        <v>143</v>
      </c>
      <c r="C68" s="36" t="b">
        <f>ISNUMBER(B68)</f>
        <v>1</v>
      </c>
      <c r="D68" s="4">
        <f>IF($C68,INDEX(SuperheatedEnglish!C:C,$B68),"-")</f>
        <v>373.1</v>
      </c>
      <c r="E68" s="41">
        <f>IF($C68,INDEX(SuperheatedEnglish!D:D,$B68),"-")</f>
        <v>2.5329999999999999</v>
      </c>
      <c r="F68" s="4">
        <f>IF($C68,INDEX(SuperheatedEnglish!E:E,$B68),"-")</f>
        <v>1113.4000000000001</v>
      </c>
      <c r="G68" s="4">
        <f>IF($C68,INDEX(SuperheatedEnglish!F:F,$B68),"-")</f>
        <v>1197.8</v>
      </c>
      <c r="H68" s="39">
        <f>IF($C68,INDEX(SuperheatedEnglish!G:G,$B68),"-")</f>
        <v>1.5552999999999999</v>
      </c>
      <c r="I68" s="26"/>
      <c r="J68" s="83">
        <f>A61</f>
        <v>155</v>
      </c>
      <c r="K68" s="36" t="b">
        <f>ISNUMBER(J68)</f>
        <v>1</v>
      </c>
      <c r="L68" s="4">
        <f>IF($K68,INDEX(SuperheatedEnglish!C:C,$J68),"-")</f>
        <v>381.8</v>
      </c>
      <c r="M68" s="41">
        <f>IF($K68,INDEX(SuperheatedEnglish!D:D,$J68),"-")</f>
        <v>2.2890000000000001</v>
      </c>
      <c r="N68" s="4">
        <f>IF($K68,INDEX(SuperheatedEnglish!E:E,$J68),"-")</f>
        <v>1114.5999999999999</v>
      </c>
      <c r="O68" s="4">
        <f>IF($K68,INDEX(SuperheatedEnglish!F:F,$J68),"-")</f>
        <v>1199.3</v>
      </c>
      <c r="P68" s="39">
        <f>IF($K68,INDEX(SuperheatedEnglish!G:G,$J68),"-")</f>
        <v>1.5464</v>
      </c>
    </row>
    <row r="69" spans="1:16" x14ac:dyDescent="0.2">
      <c r="A69" s="45">
        <v>2</v>
      </c>
      <c r="B69" s="36">
        <f>IF($A69&gt;$A$60,"-",B68+1)</f>
        <v>144</v>
      </c>
      <c r="C69" s="36" t="b">
        <f t="shared" ref="C69:C87" si="11">ISNUMBER(B69)</f>
        <v>1</v>
      </c>
      <c r="D69" s="4">
        <f>IF($C69,INDEX(SuperheatedEnglish!C:C,$B69),"-")</f>
        <v>400</v>
      </c>
      <c r="E69" s="41">
        <f>IF($C69,INDEX(SuperheatedEnglish!D:D,$B69),"-")</f>
        <v>2.6480000000000001</v>
      </c>
      <c r="F69" s="4">
        <f>IF($C69,INDEX(SuperheatedEnglish!E:E,$B69),"-")</f>
        <v>1126.2</v>
      </c>
      <c r="G69" s="4">
        <f>IF($C69,INDEX(SuperheatedEnglish!F:F,$B69),"-")</f>
        <v>1214.4000000000001</v>
      </c>
      <c r="H69" s="39">
        <f>IF($C69,INDEX(SuperheatedEnglish!G:G,$B69),"-")</f>
        <v>1.5749</v>
      </c>
      <c r="I69" s="26"/>
      <c r="J69" s="36">
        <f>IF($A69&gt;$A$63,"-",J68+1)</f>
        <v>156</v>
      </c>
      <c r="K69" s="36" t="b">
        <f t="shared" ref="K69:K87" si="12">ISNUMBER(J69)</f>
        <v>1</v>
      </c>
      <c r="L69" s="4">
        <f>IF($K69,INDEX(SuperheatedEnglish!C:C,$J69),"-")</f>
        <v>400</v>
      </c>
      <c r="M69" s="41">
        <f>IF($K69,INDEX(SuperheatedEnglish!D:D,$J69),"-")</f>
        <v>2.3610000000000002</v>
      </c>
      <c r="N69" s="4">
        <f>IF($K69,INDEX(SuperheatedEnglish!E:E,$J69),"-")</f>
        <v>1123.5</v>
      </c>
      <c r="O69" s="4">
        <f>IF($K69,INDEX(SuperheatedEnglish!F:F,$J69),"-")</f>
        <v>1210.8</v>
      </c>
      <c r="P69" s="39">
        <f>IF($K69,INDEX(SuperheatedEnglish!G:G,$J69),"-")</f>
        <v>1.56</v>
      </c>
    </row>
    <row r="70" spans="1:16" x14ac:dyDescent="0.2">
      <c r="A70" s="45">
        <v>3</v>
      </c>
      <c r="B70" s="36">
        <f t="shared" ref="B70:B87" si="13">IF($A70&gt;$A$60,"-",B69+1)</f>
        <v>145</v>
      </c>
      <c r="C70" s="36" t="b">
        <f t="shared" si="11"/>
        <v>1</v>
      </c>
      <c r="D70" s="4">
        <f>IF($C70,INDEX(SuperheatedEnglish!C:C,$B70),"-")</f>
        <v>450</v>
      </c>
      <c r="E70" s="41">
        <f>IF($C70,INDEX(SuperheatedEnglish!D:D,$B70),"-")</f>
        <v>2.85</v>
      </c>
      <c r="F70" s="4">
        <f>IF($C70,INDEX(SuperheatedEnglish!E:E,$B70),"-")</f>
        <v>1148.5</v>
      </c>
      <c r="G70" s="4">
        <f>IF($C70,INDEX(SuperheatedEnglish!F:F,$B70),"-")</f>
        <v>1243.4000000000001</v>
      </c>
      <c r="H70" s="39">
        <f>IF($C70,INDEX(SuperheatedEnglish!G:G,$B70),"-")</f>
        <v>1.6077999999999999</v>
      </c>
      <c r="I70" s="26"/>
      <c r="J70" s="36">
        <f t="shared" ref="J70:J87" si="14">IF($A70&gt;$A$63,"-",J69+1)</f>
        <v>157</v>
      </c>
      <c r="K70" s="36" t="b">
        <f t="shared" si="12"/>
        <v>1</v>
      </c>
      <c r="L70" s="4">
        <f>IF($K70,INDEX(SuperheatedEnglish!C:C,$J70),"-")</f>
        <v>450</v>
      </c>
      <c r="M70" s="41">
        <f>IF($K70,INDEX(SuperheatedEnglish!D:D,$J70),"-")</f>
        <v>2.548</v>
      </c>
      <c r="N70" s="4">
        <f>IF($K70,INDEX(SuperheatedEnglish!E:E,$J70),"-")</f>
        <v>1146.4000000000001</v>
      </c>
      <c r="O70" s="4">
        <f>IF($K70,INDEX(SuperheatedEnglish!F:F,$J70),"-")</f>
        <v>1240.7</v>
      </c>
      <c r="P70" s="39">
        <f>IF($K70,INDEX(SuperheatedEnglish!G:G,$J70),"-")</f>
        <v>1.5938000000000001</v>
      </c>
    </row>
    <row r="71" spans="1:16" x14ac:dyDescent="0.2">
      <c r="A71" s="45">
        <v>4</v>
      </c>
      <c r="B71" s="36">
        <f t="shared" si="13"/>
        <v>146</v>
      </c>
      <c r="C71" s="36" t="b">
        <f t="shared" si="11"/>
        <v>1</v>
      </c>
      <c r="D71" s="4">
        <f>IF($C71,INDEX(SuperheatedEnglish!C:C,$B71),"-")</f>
        <v>500</v>
      </c>
      <c r="E71" s="41">
        <f>IF($C71,INDEX(SuperheatedEnglish!D:D,$B71),"-")</f>
        <v>3.0419999999999998</v>
      </c>
      <c r="F71" s="4">
        <f>IF($C71,INDEX(SuperheatedEnglish!E:E,$B71),"-")</f>
        <v>1169.5999999999999</v>
      </c>
      <c r="G71" s="4">
        <f>IF($C71,INDEX(SuperheatedEnglish!F:F,$B71),"-")</f>
        <v>1270.9000000000001</v>
      </c>
      <c r="H71" s="39">
        <f>IF($C71,INDEX(SuperheatedEnglish!G:G,$B71),"-")</f>
        <v>1.6372</v>
      </c>
      <c r="I71" s="26"/>
      <c r="J71" s="36">
        <f t="shared" si="14"/>
        <v>158</v>
      </c>
      <c r="K71" s="36" t="b">
        <f t="shared" si="12"/>
        <v>1</v>
      </c>
      <c r="L71" s="4">
        <f>IF($K71,INDEX(SuperheatedEnglish!C:C,$J71),"-")</f>
        <v>500</v>
      </c>
      <c r="M71" s="41">
        <f>IF($K71,INDEX(SuperheatedEnglish!D:D,$J71),"-")</f>
        <v>2.7240000000000002</v>
      </c>
      <c r="N71" s="4">
        <f>IF($K71,INDEX(SuperheatedEnglish!E:E,$J71),"-")</f>
        <v>1168</v>
      </c>
      <c r="O71" s="4">
        <f>IF($K71,INDEX(SuperheatedEnglish!F:F,$J71),"-")</f>
        <v>1268.8</v>
      </c>
      <c r="P71" s="39">
        <f>IF($K71,INDEX(SuperheatedEnglish!G:G,$J71),"-")</f>
        <v>1.6238999999999999</v>
      </c>
    </row>
    <row r="72" spans="1:16" x14ac:dyDescent="0.2">
      <c r="A72" s="45">
        <v>5</v>
      </c>
      <c r="B72" s="36">
        <f t="shared" si="13"/>
        <v>147</v>
      </c>
      <c r="C72" s="36" t="b">
        <f t="shared" si="11"/>
        <v>1</v>
      </c>
      <c r="D72" s="4">
        <f>IF($C72,INDEX(SuperheatedEnglish!C:C,$B72),"-")</f>
        <v>550</v>
      </c>
      <c r="E72" s="41">
        <f>IF($C72,INDEX(SuperheatedEnglish!D:D,$B72),"-")</f>
        <v>3.2280000000000002</v>
      </c>
      <c r="F72" s="4">
        <f>IF($C72,INDEX(SuperheatedEnglish!E:E,$B72),"-")</f>
        <v>1190</v>
      </c>
      <c r="G72" s="4">
        <f>IF($C72,INDEX(SuperheatedEnglish!F:F,$B72),"-")</f>
        <v>1297.5</v>
      </c>
      <c r="H72" s="39">
        <f>IF($C72,INDEX(SuperheatedEnglish!G:G,$B72),"-")</f>
        <v>1.6641999999999999</v>
      </c>
      <c r="I72" s="26"/>
      <c r="J72" s="36">
        <f t="shared" si="14"/>
        <v>159</v>
      </c>
      <c r="K72" s="36" t="b">
        <f t="shared" si="12"/>
        <v>1</v>
      </c>
      <c r="L72" s="4">
        <f>IF($K72,INDEX(SuperheatedEnglish!C:C,$J72),"-")</f>
        <v>550</v>
      </c>
      <c r="M72" s="41">
        <f>IF($K72,INDEX(SuperheatedEnglish!D:D,$J72),"-")</f>
        <v>2.8929999999999998</v>
      </c>
      <c r="N72" s="4">
        <f>IF($K72,INDEX(SuperheatedEnglish!E:E,$J72),"-")</f>
        <v>1188.7</v>
      </c>
      <c r="O72" s="4">
        <f>IF($K72,INDEX(SuperheatedEnglish!F:F,$J72),"-")</f>
        <v>1295.7</v>
      </c>
      <c r="P72" s="39">
        <f>IF($K72,INDEX(SuperheatedEnglish!G:G,$J72),"-")</f>
        <v>1.6512</v>
      </c>
    </row>
    <row r="73" spans="1:16" x14ac:dyDescent="0.2">
      <c r="A73" s="45">
        <v>6</v>
      </c>
      <c r="B73" s="36">
        <f t="shared" si="13"/>
        <v>148</v>
      </c>
      <c r="C73" s="36" t="b">
        <f t="shared" si="11"/>
        <v>1</v>
      </c>
      <c r="D73" s="4">
        <f>IF($C73,INDEX(SuperheatedEnglish!C:C,$B73),"-")</f>
        <v>600</v>
      </c>
      <c r="E73" s="41">
        <f>IF($C73,INDEX(SuperheatedEnglish!D:D,$B73),"-")</f>
        <v>3.4089999999999998</v>
      </c>
      <c r="F73" s="4">
        <f>IF($C73,INDEX(SuperheatedEnglish!E:E,$B73),"-")</f>
        <v>1210</v>
      </c>
      <c r="G73" s="4">
        <f>IF($C73,INDEX(SuperheatedEnglish!F:F,$B73),"-")</f>
        <v>1323.5</v>
      </c>
      <c r="H73" s="39">
        <f>IF($C73,INDEX(SuperheatedEnglish!G:G,$B73),"-")</f>
        <v>1.6893</v>
      </c>
      <c r="I73" s="26"/>
      <c r="J73" s="36">
        <f t="shared" si="14"/>
        <v>160</v>
      </c>
      <c r="K73" s="36" t="b">
        <f t="shared" si="12"/>
        <v>1</v>
      </c>
      <c r="L73" s="4">
        <f>IF($K73,INDEX(SuperheatedEnglish!C:C,$J73),"-")</f>
        <v>600</v>
      </c>
      <c r="M73" s="41">
        <f>IF($K73,INDEX(SuperheatedEnglish!D:D,$J73),"-")</f>
        <v>3.0579999999999998</v>
      </c>
      <c r="N73" s="4">
        <f>IF($K73,INDEX(SuperheatedEnglish!E:E,$J73),"-")</f>
        <v>1208.9000000000001</v>
      </c>
      <c r="O73" s="4">
        <f>IF($K73,INDEX(SuperheatedEnglish!F:F,$J73),"-")</f>
        <v>1322.1</v>
      </c>
      <c r="P73" s="39">
        <f>IF($K73,INDEX(SuperheatedEnglish!G:G,$J73),"-")</f>
        <v>1.6767000000000001</v>
      </c>
    </row>
    <row r="74" spans="1:16" x14ac:dyDescent="0.2">
      <c r="A74" s="45">
        <v>7</v>
      </c>
      <c r="B74" s="36">
        <f t="shared" si="13"/>
        <v>149</v>
      </c>
      <c r="C74" s="36" t="b">
        <f t="shared" si="11"/>
        <v>1</v>
      </c>
      <c r="D74" s="4">
        <f>IF($C74,INDEX(SuperheatedEnglish!C:C,$B74),"-")</f>
        <v>700</v>
      </c>
      <c r="E74" s="41">
        <f>IF($C74,INDEX(SuperheatedEnglish!D:D,$B74),"-")</f>
        <v>3.7629999999999999</v>
      </c>
      <c r="F74" s="4">
        <f>IF($C74,INDEX(SuperheatedEnglish!E:E,$B74),"-")</f>
        <v>1249.5999999999999</v>
      </c>
      <c r="G74" s="4">
        <f>IF($C74,INDEX(SuperheatedEnglish!F:F,$B74),"-")</f>
        <v>1374.9</v>
      </c>
      <c r="H74" s="39">
        <f>IF($C74,INDEX(SuperheatedEnglish!G:G,$B74),"-")</f>
        <v>1.7357</v>
      </c>
      <c r="I74" s="26"/>
      <c r="J74" s="36">
        <f t="shared" si="14"/>
        <v>161</v>
      </c>
      <c r="K74" s="36" t="b">
        <f t="shared" si="12"/>
        <v>1</v>
      </c>
      <c r="L74" s="4">
        <f>IF($K74,INDEX(SuperheatedEnglish!C:C,$J74),"-")</f>
        <v>700</v>
      </c>
      <c r="M74" s="41">
        <f>IF($K74,INDEX(SuperheatedEnglish!D:D,$J74),"-")</f>
        <v>3.379</v>
      </c>
      <c r="N74" s="4">
        <f>IF($K74,INDEX(SuperheatedEnglish!E:E,$J74),"-")</f>
        <v>1248.8</v>
      </c>
      <c r="O74" s="4">
        <f>IF($K74,INDEX(SuperheatedEnglish!F:F,$J74),"-")</f>
        <v>1373.8</v>
      </c>
      <c r="P74" s="39">
        <f>IF($K74,INDEX(SuperheatedEnglish!G:G,$J74),"-")</f>
        <v>1.7234</v>
      </c>
    </row>
    <row r="75" spans="1:16" x14ac:dyDescent="0.2">
      <c r="A75" s="45">
        <v>8</v>
      </c>
      <c r="B75" s="36">
        <f t="shared" si="13"/>
        <v>150</v>
      </c>
      <c r="C75" s="36" t="b">
        <f t="shared" si="11"/>
        <v>1</v>
      </c>
      <c r="D75" s="4">
        <f>IF($C75,INDEX(SuperheatedEnglish!C:C,$B75),"-")</f>
        <v>800</v>
      </c>
      <c r="E75" s="41">
        <f>IF($C75,INDEX(SuperheatedEnglish!D:D,$B75),"-")</f>
        <v>4.1100000000000003</v>
      </c>
      <c r="F75" s="4">
        <f>IF($C75,INDEX(SuperheatedEnglish!E:E,$B75),"-")</f>
        <v>1289.3</v>
      </c>
      <c r="G75" s="4">
        <f>IF($C75,INDEX(SuperheatedEnglish!F:F,$B75),"-")</f>
        <v>1426.2</v>
      </c>
      <c r="H75" s="39">
        <f>IF($C75,INDEX(SuperheatedEnglish!G:G,$B75),"-")</f>
        <v>1.7781</v>
      </c>
      <c r="I75" s="26"/>
      <c r="J75" s="36">
        <f t="shared" si="14"/>
        <v>162</v>
      </c>
      <c r="K75" s="36" t="b">
        <f t="shared" si="12"/>
        <v>1</v>
      </c>
      <c r="L75" s="4">
        <f>IF($K75,INDEX(SuperheatedEnglish!C:C,$J75),"-")</f>
        <v>800</v>
      </c>
      <c r="M75" s="41">
        <f>IF($K75,INDEX(SuperheatedEnglish!D:D,$J75),"-")</f>
        <v>3.6930000000000001</v>
      </c>
      <c r="N75" s="4">
        <f>IF($K75,INDEX(SuperheatedEnglish!E:E,$J75),"-")</f>
        <v>1288.5999999999999</v>
      </c>
      <c r="O75" s="4">
        <f>IF($K75,INDEX(SuperheatedEnglish!F:F,$J75),"-")</f>
        <v>1425.3</v>
      </c>
      <c r="P75" s="39">
        <f>IF($K75,INDEX(SuperheatedEnglish!G:G,$J75),"-")</f>
        <v>1.766</v>
      </c>
    </row>
    <row r="76" spans="1:16" x14ac:dyDescent="0.2">
      <c r="A76" s="45">
        <v>9</v>
      </c>
      <c r="B76" s="36">
        <f t="shared" si="13"/>
        <v>151</v>
      </c>
      <c r="C76" s="36" t="b">
        <f t="shared" si="11"/>
        <v>1</v>
      </c>
      <c r="D76" s="4">
        <f>IF($C76,INDEX(SuperheatedEnglish!C:C,$B76),"-")</f>
        <v>900</v>
      </c>
      <c r="E76" s="41">
        <f>IF($C76,INDEX(SuperheatedEnglish!D:D,$B76),"-")</f>
        <v>4.4530000000000003</v>
      </c>
      <c r="F76" s="4">
        <f>IF($C76,INDEX(SuperheatedEnglish!E:E,$B76),"-")</f>
        <v>1329.4</v>
      </c>
      <c r="G76" s="4">
        <f>IF($C76,INDEX(SuperheatedEnglish!F:F,$B76),"-")</f>
        <v>1477.7</v>
      </c>
      <c r="H76" s="39">
        <f>IF($C76,INDEX(SuperheatedEnglish!G:G,$B76),"-")</f>
        <v>1.8173999999999999</v>
      </c>
      <c r="I76" s="26"/>
      <c r="J76" s="36">
        <f t="shared" si="14"/>
        <v>163</v>
      </c>
      <c r="K76" s="36" t="b">
        <f t="shared" si="12"/>
        <v>1</v>
      </c>
      <c r="L76" s="4">
        <f>IF($K76,INDEX(SuperheatedEnglish!C:C,$J76),"-")</f>
        <v>900</v>
      </c>
      <c r="M76" s="41">
        <f>IF($K76,INDEX(SuperheatedEnglish!D:D,$J76),"-")</f>
        <v>4.0030000000000001</v>
      </c>
      <c r="N76" s="4">
        <f>IF($K76,INDEX(SuperheatedEnglish!E:E,$J76),"-")</f>
        <v>1328.9</v>
      </c>
      <c r="O76" s="4">
        <f>IF($K76,INDEX(SuperheatedEnglish!F:F,$J76),"-")</f>
        <v>1477.1</v>
      </c>
      <c r="P76" s="39">
        <f>IF($K76,INDEX(SuperheatedEnglish!G:G,$J76),"-")</f>
        <v>1.8055000000000001</v>
      </c>
    </row>
    <row r="77" spans="1:16" x14ac:dyDescent="0.2">
      <c r="A77" s="45">
        <v>10</v>
      </c>
      <c r="B77" s="36">
        <f t="shared" si="13"/>
        <v>152</v>
      </c>
      <c r="C77" s="36" t="b">
        <f t="shared" si="11"/>
        <v>1</v>
      </c>
      <c r="D77" s="4">
        <f>IF($C77,INDEX(SuperheatedEnglish!C:C,$B77),"-")</f>
        <v>1000</v>
      </c>
      <c r="E77" s="41">
        <f>IF($C77,INDEX(SuperheatedEnglish!D:D,$B77),"-")</f>
        <v>4.7930000000000001</v>
      </c>
      <c r="F77" s="4">
        <f>IF($C77,INDEX(SuperheatedEnglish!E:E,$B77),"-")</f>
        <v>1370.2</v>
      </c>
      <c r="G77" s="4">
        <f>IF($C77,INDEX(SuperheatedEnglish!F:F,$B77),"-")</f>
        <v>1529.8</v>
      </c>
      <c r="H77" s="39">
        <f>IF($C77,INDEX(SuperheatedEnglish!G:G,$B77),"-")</f>
        <v>1.8545</v>
      </c>
      <c r="I77" s="26"/>
      <c r="J77" s="36">
        <f t="shared" si="14"/>
        <v>164</v>
      </c>
      <c r="K77" s="36" t="b">
        <f t="shared" si="12"/>
        <v>1</v>
      </c>
      <c r="L77" s="4">
        <f>IF($K77,INDEX(SuperheatedEnglish!C:C,$J77),"-")</f>
        <v>1000</v>
      </c>
      <c r="M77" s="41">
        <f>IF($K77,INDEX(SuperheatedEnglish!D:D,$J77),"-")</f>
        <v>4.3099999999999996</v>
      </c>
      <c r="N77" s="4">
        <f>IF($K77,INDEX(SuperheatedEnglish!E:E,$J77),"-")</f>
        <v>1369.8</v>
      </c>
      <c r="O77" s="4">
        <f>IF($K77,INDEX(SuperheatedEnglish!F:F,$J77),"-")</f>
        <v>1529.3</v>
      </c>
      <c r="P77" s="39">
        <f>IF($K77,INDEX(SuperheatedEnglish!G:G,$J77),"-")</f>
        <v>1.8425</v>
      </c>
    </row>
    <row r="78" spans="1:16" x14ac:dyDescent="0.2">
      <c r="A78" s="45">
        <v>11</v>
      </c>
      <c r="B78" s="36">
        <f t="shared" si="13"/>
        <v>153</v>
      </c>
      <c r="C78" s="36" t="b">
        <f t="shared" si="11"/>
        <v>1</v>
      </c>
      <c r="D78" s="4">
        <f>IF($C78,INDEX(SuperheatedEnglish!C:C,$B78),"-")</f>
        <v>1100</v>
      </c>
      <c r="E78" s="41">
        <f>IF($C78,INDEX(SuperheatedEnglish!D:D,$B78),"-")</f>
        <v>5.1310000000000002</v>
      </c>
      <c r="F78" s="4">
        <f>IF($C78,INDEX(SuperheatedEnglish!E:E,$B78),"-")</f>
        <v>1411.7</v>
      </c>
      <c r="G78" s="4">
        <f>IF($C78,INDEX(SuperheatedEnglish!F:F,$B78),"-")</f>
        <v>1582.6</v>
      </c>
      <c r="H78" s="39">
        <f>IF($C78,INDEX(SuperheatedEnglish!G:G,$B78),"-")</f>
        <v>1.8894</v>
      </c>
      <c r="I78" s="26"/>
      <c r="J78" s="36">
        <f t="shared" si="14"/>
        <v>165</v>
      </c>
      <c r="K78" s="36" t="b">
        <f t="shared" si="12"/>
        <v>1</v>
      </c>
      <c r="L78" s="4">
        <f>IF($K78,INDEX(SuperheatedEnglish!C:C,$J78),"-")</f>
        <v>1100</v>
      </c>
      <c r="M78" s="41">
        <f>IF($K78,INDEX(SuperheatedEnglish!D:D,$J78),"-")</f>
        <v>4.6150000000000002</v>
      </c>
      <c r="N78" s="4">
        <f>IF($K78,INDEX(SuperheatedEnglish!E:E,$J78),"-")</f>
        <v>1411.4</v>
      </c>
      <c r="O78" s="4">
        <f>IF($K78,INDEX(SuperheatedEnglish!F:F,$J78),"-")</f>
        <v>1582.2</v>
      </c>
      <c r="P78" s="39">
        <f>IF($K78,INDEX(SuperheatedEnglish!G:G,$J78),"-")</f>
        <v>1.8775999999999999</v>
      </c>
    </row>
    <row r="79" spans="1:16" x14ac:dyDescent="0.2">
      <c r="A79" s="45">
        <v>12</v>
      </c>
      <c r="B79" s="36">
        <f t="shared" si="13"/>
        <v>154</v>
      </c>
      <c r="C79" s="36" t="b">
        <f t="shared" si="11"/>
        <v>1</v>
      </c>
      <c r="D79" s="4">
        <f>IF($C79,INDEX(SuperheatedEnglish!C:C,$B79),"-")</f>
        <v>1200</v>
      </c>
      <c r="E79" s="41">
        <f>IF($C79,INDEX(SuperheatedEnglish!D:D,$B79),"-")</f>
        <v>5.4669999999999996</v>
      </c>
      <c r="F79" s="4">
        <f>IF($C79,INDEX(SuperheatedEnglish!E:E,$B79),"-")</f>
        <v>1454</v>
      </c>
      <c r="G79" s="4">
        <f>IF($C79,INDEX(SuperheatedEnglish!F:F,$B79),"-")</f>
        <v>1636.1</v>
      </c>
      <c r="H79" s="39">
        <f>IF($C79,INDEX(SuperheatedEnglish!G:G,$B79),"-")</f>
        <v>1.9227000000000001</v>
      </c>
      <c r="I79" s="26"/>
      <c r="J79" s="36">
        <f t="shared" si="14"/>
        <v>166</v>
      </c>
      <c r="K79" s="36" t="b">
        <f t="shared" si="12"/>
        <v>1</v>
      </c>
      <c r="L79" s="4">
        <f>IF($K79,INDEX(SuperheatedEnglish!C:C,$J79),"-")</f>
        <v>1200</v>
      </c>
      <c r="M79" s="41">
        <f>IF($K79,INDEX(SuperheatedEnglish!D:D,$J79),"-")</f>
        <v>4.9180000000000001</v>
      </c>
      <c r="N79" s="4">
        <f>IF($K79,INDEX(SuperheatedEnglish!E:E,$J79),"-")</f>
        <v>1453.7</v>
      </c>
      <c r="O79" s="4">
        <f>IF($K79,INDEX(SuperheatedEnglish!F:F,$J79),"-")</f>
        <v>1635.7</v>
      </c>
      <c r="P79" s="39">
        <f>IF($K79,INDEX(SuperheatedEnglish!G:G,$J79),"-")</f>
        <v>1.9109</v>
      </c>
    </row>
    <row r="80" spans="1:16" x14ac:dyDescent="0.2">
      <c r="A80" s="45">
        <v>13</v>
      </c>
      <c r="B80" s="36" t="str">
        <f t="shared" si="13"/>
        <v>-</v>
      </c>
      <c r="C80" s="36" t="b">
        <f t="shared" si="11"/>
        <v>0</v>
      </c>
      <c r="D80" s="4" t="str">
        <f>IF($C80,INDEX(SuperheatedEnglish!C:C,$B80),"-")</f>
        <v>-</v>
      </c>
      <c r="E80" s="41" t="str">
        <f>IF($C80,INDEX(SuperheatedEnglish!D:D,$B80),"-")</f>
        <v>-</v>
      </c>
      <c r="F80" s="4" t="str">
        <f>IF($C80,INDEX(SuperheatedEnglish!E:E,$B80),"-")</f>
        <v>-</v>
      </c>
      <c r="G80" s="4" t="str">
        <f>IF($C80,INDEX(SuperheatedEnglish!F:F,$B80),"-")</f>
        <v>-</v>
      </c>
      <c r="H80" s="39" t="str">
        <f>IF($C80,INDEX(SuperheatedEnglish!G:G,$B80),"-")</f>
        <v>-</v>
      </c>
      <c r="I80" s="26"/>
      <c r="J80" s="36" t="str">
        <f t="shared" si="14"/>
        <v>-</v>
      </c>
      <c r="K80" s="36" t="b">
        <f t="shared" si="12"/>
        <v>0</v>
      </c>
      <c r="L80" s="4" t="str">
        <f>IF($K80,INDEX(SuperheatedEnglish!C:C,$J80),"-")</f>
        <v>-</v>
      </c>
      <c r="M80" s="41" t="str">
        <f>IF($K80,INDEX(SuperheatedEnglish!D:D,$J80),"-")</f>
        <v>-</v>
      </c>
      <c r="N80" s="4" t="str">
        <f>IF($K80,INDEX(SuperheatedEnglish!E:E,$J80),"-")</f>
        <v>-</v>
      </c>
      <c r="O80" s="4" t="str">
        <f>IF($K80,INDEX(SuperheatedEnglish!F:F,$J80),"-")</f>
        <v>-</v>
      </c>
      <c r="P80" s="39" t="str">
        <f>IF($K80,INDEX(SuperheatedEnglish!G:G,$J80),"-")</f>
        <v>-</v>
      </c>
    </row>
    <row r="81" spans="1:16" x14ac:dyDescent="0.2">
      <c r="A81" s="45">
        <v>14</v>
      </c>
      <c r="B81" s="36" t="str">
        <f t="shared" si="13"/>
        <v>-</v>
      </c>
      <c r="C81" s="36" t="b">
        <f t="shared" si="11"/>
        <v>0</v>
      </c>
      <c r="D81" s="4" t="str">
        <f>IF($C81,INDEX(SuperheatedEnglish!C:C,$B81),"-")</f>
        <v>-</v>
      </c>
      <c r="E81" s="41" t="str">
        <f>IF($C81,INDEX(SuperheatedEnglish!D:D,$B81),"-")</f>
        <v>-</v>
      </c>
      <c r="F81" s="4" t="str">
        <f>IF($C81,INDEX(SuperheatedEnglish!E:E,$B81),"-")</f>
        <v>-</v>
      </c>
      <c r="G81" s="4" t="str">
        <f>IF($C81,INDEX(SuperheatedEnglish!F:F,$B81),"-")</f>
        <v>-</v>
      </c>
      <c r="H81" s="39" t="str">
        <f>IF($C81,INDEX(SuperheatedEnglish!G:G,$B81),"-")</f>
        <v>-</v>
      </c>
      <c r="I81" s="26"/>
      <c r="J81" s="36" t="str">
        <f t="shared" si="14"/>
        <v>-</v>
      </c>
      <c r="K81" s="36" t="b">
        <f t="shared" si="12"/>
        <v>0</v>
      </c>
      <c r="L81" s="4" t="str">
        <f>IF($K81,INDEX(SuperheatedEnglish!C:C,$J81),"-")</f>
        <v>-</v>
      </c>
      <c r="M81" s="41" t="str">
        <f>IF($K81,INDEX(SuperheatedEnglish!D:D,$J81),"-")</f>
        <v>-</v>
      </c>
      <c r="N81" s="4" t="str">
        <f>IF($K81,INDEX(SuperheatedEnglish!E:E,$J81),"-")</f>
        <v>-</v>
      </c>
      <c r="O81" s="4" t="str">
        <f>IF($K81,INDEX(SuperheatedEnglish!F:F,$J81),"-")</f>
        <v>-</v>
      </c>
      <c r="P81" s="39" t="str">
        <f>IF($K81,INDEX(SuperheatedEnglish!G:G,$J81),"-")</f>
        <v>-</v>
      </c>
    </row>
    <row r="82" spans="1:16" x14ac:dyDescent="0.2">
      <c r="A82" s="45">
        <v>15</v>
      </c>
      <c r="B82" s="36" t="str">
        <f t="shared" si="13"/>
        <v>-</v>
      </c>
      <c r="C82" s="36" t="b">
        <f t="shared" si="11"/>
        <v>0</v>
      </c>
      <c r="D82" s="4" t="str">
        <f>IF($C82,INDEX(SuperheatedEnglish!C:C,$B82),"-")</f>
        <v>-</v>
      </c>
      <c r="E82" s="41" t="str">
        <f>IF($C82,INDEX(SuperheatedEnglish!D:D,$B82),"-")</f>
        <v>-</v>
      </c>
      <c r="F82" s="4" t="str">
        <f>IF($C82,INDEX(SuperheatedEnglish!E:E,$B82),"-")</f>
        <v>-</v>
      </c>
      <c r="G82" s="4" t="str">
        <f>IF($C82,INDEX(SuperheatedEnglish!F:F,$B82),"-")</f>
        <v>-</v>
      </c>
      <c r="H82" s="39" t="str">
        <f>IF($C82,INDEX(SuperheatedEnglish!G:G,$B82),"-")</f>
        <v>-</v>
      </c>
      <c r="I82" s="26"/>
      <c r="J82" s="36" t="str">
        <f t="shared" si="14"/>
        <v>-</v>
      </c>
      <c r="K82" s="36" t="b">
        <f t="shared" si="12"/>
        <v>0</v>
      </c>
      <c r="L82" s="4" t="str">
        <f>IF($K82,INDEX(SuperheatedEnglish!C:C,$J82),"-")</f>
        <v>-</v>
      </c>
      <c r="M82" s="41" t="str">
        <f>IF($K82,INDEX(SuperheatedEnglish!D:D,$J82),"-")</f>
        <v>-</v>
      </c>
      <c r="N82" s="4" t="str">
        <f>IF($K82,INDEX(SuperheatedEnglish!E:E,$J82),"-")</f>
        <v>-</v>
      </c>
      <c r="O82" s="4" t="str">
        <f>IF($K82,INDEX(SuperheatedEnglish!F:F,$J82),"-")</f>
        <v>-</v>
      </c>
      <c r="P82" s="39" t="str">
        <f>IF($K82,INDEX(SuperheatedEnglish!G:G,$J82),"-")</f>
        <v>-</v>
      </c>
    </row>
    <row r="83" spans="1:16" x14ac:dyDescent="0.2">
      <c r="A83" s="45">
        <v>16</v>
      </c>
      <c r="B83" s="36" t="str">
        <f t="shared" si="13"/>
        <v>-</v>
      </c>
      <c r="C83" s="36" t="b">
        <f t="shared" si="11"/>
        <v>0</v>
      </c>
      <c r="D83" s="4" t="str">
        <f>IF($C83,INDEX(SuperheatedEnglish!C:C,$B83),"-")</f>
        <v>-</v>
      </c>
      <c r="E83" s="41" t="str">
        <f>IF($C83,INDEX(SuperheatedEnglish!D:D,$B83),"-")</f>
        <v>-</v>
      </c>
      <c r="F83" s="4" t="str">
        <f>IF($C83,INDEX(SuperheatedEnglish!E:E,$B83),"-")</f>
        <v>-</v>
      </c>
      <c r="G83" s="4" t="str">
        <f>IF($C83,INDEX(SuperheatedEnglish!F:F,$B83),"-")</f>
        <v>-</v>
      </c>
      <c r="H83" s="39" t="str">
        <f>IF($C83,INDEX(SuperheatedEnglish!G:G,$B83),"-")</f>
        <v>-</v>
      </c>
      <c r="I83" s="26"/>
      <c r="J83" s="36" t="str">
        <f t="shared" si="14"/>
        <v>-</v>
      </c>
      <c r="K83" s="36" t="b">
        <f t="shared" si="12"/>
        <v>0</v>
      </c>
      <c r="L83" s="4" t="str">
        <f>IF($K83,INDEX(SuperheatedEnglish!C:C,$J83),"-")</f>
        <v>-</v>
      </c>
      <c r="M83" s="41" t="str">
        <f>IF($K83,INDEX(SuperheatedEnglish!D:D,$J83),"-")</f>
        <v>-</v>
      </c>
      <c r="N83" s="4" t="str">
        <f>IF($K83,INDEX(SuperheatedEnglish!E:E,$J83),"-")</f>
        <v>-</v>
      </c>
      <c r="O83" s="4" t="str">
        <f>IF($K83,INDEX(SuperheatedEnglish!F:F,$J83),"-")</f>
        <v>-</v>
      </c>
      <c r="P83" s="39" t="str">
        <f>IF($K83,INDEX(SuperheatedEnglish!G:G,$J83),"-")</f>
        <v>-</v>
      </c>
    </row>
    <row r="84" spans="1:16" x14ac:dyDescent="0.2">
      <c r="A84" s="45">
        <v>17</v>
      </c>
      <c r="B84" s="36" t="str">
        <f t="shared" si="13"/>
        <v>-</v>
      </c>
      <c r="C84" s="36" t="b">
        <f t="shared" si="11"/>
        <v>0</v>
      </c>
      <c r="D84" s="4" t="str">
        <f>IF($C84,INDEX(SuperheatedEnglish!C:C,$B84),"-")</f>
        <v>-</v>
      </c>
      <c r="E84" s="41" t="str">
        <f>IF($C84,INDEX(SuperheatedEnglish!D:D,$B84),"-")</f>
        <v>-</v>
      </c>
      <c r="F84" s="4" t="str">
        <f>IF($C84,INDEX(SuperheatedEnglish!E:E,$B84),"-")</f>
        <v>-</v>
      </c>
      <c r="G84" s="4" t="str">
        <f>IF($C84,INDEX(SuperheatedEnglish!F:F,$B84),"-")</f>
        <v>-</v>
      </c>
      <c r="H84" s="39" t="str">
        <f>IF($C84,INDEX(SuperheatedEnglish!G:G,$B84),"-")</f>
        <v>-</v>
      </c>
      <c r="I84" s="26"/>
      <c r="J84" s="36" t="str">
        <f t="shared" si="14"/>
        <v>-</v>
      </c>
      <c r="K84" s="36" t="b">
        <f t="shared" si="12"/>
        <v>0</v>
      </c>
      <c r="L84" s="4" t="str">
        <f>IF($K84,INDEX(SuperheatedEnglish!C:C,$J84),"-")</f>
        <v>-</v>
      </c>
      <c r="M84" s="41" t="str">
        <f>IF($K84,INDEX(SuperheatedEnglish!D:D,$J84),"-")</f>
        <v>-</v>
      </c>
      <c r="N84" s="4" t="str">
        <f>IF($K84,INDEX(SuperheatedEnglish!E:E,$J84),"-")</f>
        <v>-</v>
      </c>
      <c r="O84" s="4" t="str">
        <f>IF($K84,INDEX(SuperheatedEnglish!F:F,$J84),"-")</f>
        <v>-</v>
      </c>
      <c r="P84" s="39" t="str">
        <f>IF($K84,INDEX(SuperheatedEnglish!G:G,$J84),"-")</f>
        <v>-</v>
      </c>
    </row>
    <row r="85" spans="1:16" x14ac:dyDescent="0.2">
      <c r="A85" s="45">
        <v>18</v>
      </c>
      <c r="B85" s="36" t="str">
        <f t="shared" si="13"/>
        <v>-</v>
      </c>
      <c r="C85" s="36" t="b">
        <f t="shared" si="11"/>
        <v>0</v>
      </c>
      <c r="D85" s="4" t="str">
        <f>IF($C85,INDEX(SuperheatedEnglish!C:C,$B85),"-")</f>
        <v>-</v>
      </c>
      <c r="E85" s="41" t="str">
        <f>IF($C85,INDEX(SuperheatedEnglish!D:D,$B85),"-")</f>
        <v>-</v>
      </c>
      <c r="F85" s="4" t="str">
        <f>IF($C85,INDEX(SuperheatedEnglish!E:E,$B85),"-")</f>
        <v>-</v>
      </c>
      <c r="G85" s="4" t="str">
        <f>IF($C85,INDEX(SuperheatedEnglish!F:F,$B85),"-")</f>
        <v>-</v>
      </c>
      <c r="H85" s="39" t="str">
        <f>IF($C85,INDEX(SuperheatedEnglish!G:G,$B85),"-")</f>
        <v>-</v>
      </c>
      <c r="I85" s="26"/>
      <c r="J85" s="36" t="str">
        <f t="shared" si="14"/>
        <v>-</v>
      </c>
      <c r="K85" s="36" t="b">
        <f t="shared" si="12"/>
        <v>0</v>
      </c>
      <c r="L85" s="4" t="str">
        <f>IF($K85,INDEX(SuperheatedEnglish!C:C,$J85),"-")</f>
        <v>-</v>
      </c>
      <c r="M85" s="41" t="str">
        <f>IF($K85,INDEX(SuperheatedEnglish!D:D,$J85),"-")</f>
        <v>-</v>
      </c>
      <c r="N85" s="4" t="str">
        <f>IF($K85,INDEX(SuperheatedEnglish!E:E,$J85),"-")</f>
        <v>-</v>
      </c>
      <c r="O85" s="4" t="str">
        <f>IF($K85,INDEX(SuperheatedEnglish!F:F,$J85),"-")</f>
        <v>-</v>
      </c>
      <c r="P85" s="39" t="str">
        <f>IF($K85,INDEX(SuperheatedEnglish!G:G,$J85),"-")</f>
        <v>-</v>
      </c>
    </row>
    <row r="86" spans="1:16" x14ac:dyDescent="0.2">
      <c r="A86" s="45">
        <v>19</v>
      </c>
      <c r="B86" s="36" t="str">
        <f t="shared" si="13"/>
        <v>-</v>
      </c>
      <c r="C86" s="36" t="b">
        <f t="shared" si="11"/>
        <v>0</v>
      </c>
      <c r="D86" s="4" t="str">
        <f>IF($C86,INDEX(SuperheatedEnglish!C:C,$B86),"-")</f>
        <v>-</v>
      </c>
      <c r="E86" s="41" t="str">
        <f>IF($C86,INDEX(SuperheatedEnglish!D:D,$B86),"-")</f>
        <v>-</v>
      </c>
      <c r="F86" s="4" t="str">
        <f>IF($C86,INDEX(SuperheatedEnglish!E:E,$B86),"-")</f>
        <v>-</v>
      </c>
      <c r="G86" s="4" t="str">
        <f>IF($C86,INDEX(SuperheatedEnglish!F:F,$B86),"-")</f>
        <v>-</v>
      </c>
      <c r="H86" s="39" t="str">
        <f>IF($C86,INDEX(SuperheatedEnglish!G:G,$B86),"-")</f>
        <v>-</v>
      </c>
      <c r="I86" s="26"/>
      <c r="J86" s="36" t="str">
        <f t="shared" si="14"/>
        <v>-</v>
      </c>
      <c r="K86" s="36" t="b">
        <f t="shared" si="12"/>
        <v>0</v>
      </c>
      <c r="L86" s="4" t="str">
        <f>IF($K86,INDEX(SuperheatedEnglish!C:C,$J86),"-")</f>
        <v>-</v>
      </c>
      <c r="M86" s="41" t="str">
        <f>IF($K86,INDEX(SuperheatedEnglish!D:D,$J86),"-")</f>
        <v>-</v>
      </c>
      <c r="N86" s="4" t="str">
        <f>IF($K86,INDEX(SuperheatedEnglish!E:E,$J86),"-")</f>
        <v>-</v>
      </c>
      <c r="O86" s="4" t="str">
        <f>IF($K86,INDEX(SuperheatedEnglish!F:F,$J86),"-")</f>
        <v>-</v>
      </c>
      <c r="P86" s="39" t="str">
        <f>IF($K86,INDEX(SuperheatedEnglish!G:G,$J86),"-")</f>
        <v>-</v>
      </c>
    </row>
    <row r="87" spans="1:16" x14ac:dyDescent="0.2">
      <c r="A87" s="45">
        <v>20</v>
      </c>
      <c r="B87" s="36" t="str">
        <f t="shared" si="13"/>
        <v>-</v>
      </c>
      <c r="C87" s="36" t="b">
        <f t="shared" si="11"/>
        <v>0</v>
      </c>
      <c r="D87" s="4" t="str">
        <f>IF($C87,INDEX(SuperheatedEnglish!C:C,$B87),"-")</f>
        <v>-</v>
      </c>
      <c r="E87" s="41" t="str">
        <f>IF($C87,INDEX(SuperheatedEnglish!D:D,$B87),"-")</f>
        <v>-</v>
      </c>
      <c r="F87" s="4" t="str">
        <f>IF($C87,INDEX(SuperheatedEnglish!E:E,$B87),"-")</f>
        <v>-</v>
      </c>
      <c r="G87" s="4" t="str">
        <f>IF($C87,INDEX(SuperheatedEnglish!F:F,$B87),"-")</f>
        <v>-</v>
      </c>
      <c r="H87" s="39" t="str">
        <f>IF($C87,INDEX(SuperheatedEnglish!G:G,$B87),"-")</f>
        <v>-</v>
      </c>
      <c r="I87" s="26"/>
      <c r="J87" s="36" t="str">
        <f t="shared" si="14"/>
        <v>-</v>
      </c>
      <c r="K87" s="36" t="b">
        <f t="shared" si="12"/>
        <v>0</v>
      </c>
      <c r="L87" s="4" t="str">
        <f>IF($K87,INDEX(SuperheatedEnglish!C:C,$J87),"-")</f>
        <v>-</v>
      </c>
      <c r="M87" s="41" t="str">
        <f>IF($K87,INDEX(SuperheatedEnglish!D:D,$J87),"-")</f>
        <v>-</v>
      </c>
      <c r="N87" s="4" t="str">
        <f>IF($K87,INDEX(SuperheatedEnglish!E:E,$J87),"-")</f>
        <v>-</v>
      </c>
      <c r="O87" s="4" t="str">
        <f>IF($K87,INDEX(SuperheatedEnglish!F:F,$J87),"-")</f>
        <v>-</v>
      </c>
      <c r="P87" s="39" t="str">
        <f>IF($K87,INDEX(SuperheatedEnglish!G:G,$J87),"-")</f>
        <v>-</v>
      </c>
    </row>
    <row r="88" spans="1:16" x14ac:dyDescent="0.2">
      <c r="A88" s="82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34"/>
    </row>
    <row r="89" spans="1:16" x14ac:dyDescent="0.2">
      <c r="A89" s="81">
        <f>A56</f>
        <v>1.7</v>
      </c>
      <c r="B89" s="26" t="s">
        <v>108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34"/>
    </row>
    <row r="90" spans="1:16" x14ac:dyDescent="0.2">
      <c r="A90" s="82"/>
      <c r="B90" s="26"/>
      <c r="C90" s="84" t="s">
        <v>97</v>
      </c>
      <c r="D90" s="26"/>
      <c r="E90" s="26"/>
      <c r="F90" s="26"/>
      <c r="G90" s="26"/>
      <c r="H90" s="36">
        <f t="shared" ref="H90" si="15">MATCH($A89,H68:H87)</f>
        <v>6</v>
      </c>
      <c r="I90" s="26"/>
      <c r="J90" s="26"/>
      <c r="K90" s="84" t="s">
        <v>97</v>
      </c>
      <c r="L90" s="26"/>
      <c r="M90" s="26"/>
      <c r="N90" s="26"/>
      <c r="O90" s="26"/>
      <c r="P90" s="36">
        <f t="shared" ref="P90" si="16">MATCH($A89,P68:P87)</f>
        <v>6</v>
      </c>
    </row>
    <row r="91" spans="1:16" x14ac:dyDescent="0.2">
      <c r="A91" s="82"/>
      <c r="B91" s="26"/>
      <c r="C91" s="84" t="s">
        <v>98</v>
      </c>
      <c r="D91" s="4">
        <f t="shared" ref="D91:G91" si="17">INDEX(D68:D87,$H$90)</f>
        <v>600</v>
      </c>
      <c r="E91" s="41">
        <f t="shared" si="17"/>
        <v>3.4089999999999998</v>
      </c>
      <c r="F91" s="4">
        <f t="shared" si="17"/>
        <v>1210</v>
      </c>
      <c r="G91" s="4">
        <f t="shared" si="17"/>
        <v>1323.5</v>
      </c>
      <c r="H91" s="39">
        <f>INDEX(H68:H87,$H$90)</f>
        <v>1.6893</v>
      </c>
      <c r="I91" s="26"/>
      <c r="J91" s="26"/>
      <c r="K91" s="84" t="s">
        <v>98</v>
      </c>
      <c r="L91" s="4">
        <f t="shared" ref="L91:O91" si="18">INDEX(L68:L87,$P$90)</f>
        <v>600</v>
      </c>
      <c r="M91" s="41">
        <f t="shared" si="18"/>
        <v>3.0579999999999998</v>
      </c>
      <c r="N91" s="4">
        <f t="shared" si="18"/>
        <v>1208.9000000000001</v>
      </c>
      <c r="O91" s="4">
        <f t="shared" si="18"/>
        <v>1322.1</v>
      </c>
      <c r="P91" s="39">
        <f>INDEX(P68:P87,$P$90)</f>
        <v>1.6767000000000001</v>
      </c>
    </row>
    <row r="92" spans="1:16" x14ac:dyDescent="0.2">
      <c r="A92" s="82"/>
      <c r="B92" s="26"/>
      <c r="C92" s="84" t="s">
        <v>109</v>
      </c>
      <c r="D92" s="26"/>
      <c r="E92" s="26"/>
      <c r="F92" s="26"/>
      <c r="G92" s="26"/>
      <c r="H92" s="39">
        <f>$A89</f>
        <v>1.7</v>
      </c>
      <c r="I92" s="26"/>
      <c r="J92" s="26"/>
      <c r="K92" s="84" t="s">
        <v>99</v>
      </c>
      <c r="L92" s="26"/>
      <c r="M92" s="26"/>
      <c r="N92" s="26"/>
      <c r="O92" s="26"/>
      <c r="P92" s="39">
        <f>$A89</f>
        <v>1.7</v>
      </c>
    </row>
    <row r="93" spans="1:16" x14ac:dyDescent="0.2">
      <c r="A93" s="82"/>
      <c r="B93" s="26"/>
      <c r="C93" s="84" t="s">
        <v>100</v>
      </c>
      <c r="D93" s="4">
        <f t="shared" ref="D93:G93" si="19">INDEX(D68:D87,$H$90+1)</f>
        <v>700</v>
      </c>
      <c r="E93" s="41">
        <f t="shared" si="19"/>
        <v>3.7629999999999999</v>
      </c>
      <c r="F93" s="4">
        <f t="shared" si="19"/>
        <v>1249.5999999999999</v>
      </c>
      <c r="G93" s="4">
        <f t="shared" si="19"/>
        <v>1374.9</v>
      </c>
      <c r="H93" s="39">
        <f>INDEX(H68:H87,$H$90+1)</f>
        <v>1.7357</v>
      </c>
      <c r="I93" s="26"/>
      <c r="J93" s="26"/>
      <c r="K93" s="84" t="s">
        <v>100</v>
      </c>
      <c r="L93" s="4">
        <f>INDEX(L68:L87,$P$90+1)</f>
        <v>700</v>
      </c>
      <c r="M93" s="41">
        <f t="shared" ref="M93:P93" si="20">INDEX(M68:M87,$P$90+1)</f>
        <v>3.379</v>
      </c>
      <c r="N93" s="4">
        <f t="shared" si="20"/>
        <v>1248.8</v>
      </c>
      <c r="O93" s="4">
        <f t="shared" si="20"/>
        <v>1373.8</v>
      </c>
      <c r="P93" s="39">
        <f t="shared" si="20"/>
        <v>1.7234</v>
      </c>
    </row>
    <row r="94" spans="1:16" x14ac:dyDescent="0.2">
      <c r="A94" s="82"/>
      <c r="B94" s="26"/>
      <c r="C94" s="84" t="s">
        <v>101</v>
      </c>
      <c r="D94" s="26"/>
      <c r="E94" s="26"/>
      <c r="F94" s="26"/>
      <c r="G94" s="26"/>
      <c r="H94" s="37">
        <f>(H92-H91)/(H93-H91)</f>
        <v>0.23060344827586063</v>
      </c>
      <c r="I94" s="26"/>
      <c r="J94" s="26"/>
      <c r="K94" s="84" t="s">
        <v>101</v>
      </c>
      <c r="L94" s="26"/>
      <c r="M94" s="26"/>
      <c r="N94" s="26"/>
      <c r="O94" s="26"/>
      <c r="P94" s="37">
        <f>(P92-P91)/(P93-P91)</f>
        <v>0.49892933618843455</v>
      </c>
    </row>
    <row r="95" spans="1:16" x14ac:dyDescent="0.2">
      <c r="A95" s="82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34"/>
    </row>
    <row r="96" spans="1:16" x14ac:dyDescent="0.2">
      <c r="A96" s="82"/>
      <c r="B96" s="26"/>
      <c r="C96" s="26"/>
      <c r="D96" s="46" t="s">
        <v>110</v>
      </c>
      <c r="E96" s="50"/>
      <c r="F96" s="50"/>
      <c r="G96" s="50"/>
      <c r="H96" s="51"/>
      <c r="I96" s="26"/>
      <c r="J96" s="26"/>
      <c r="K96" s="26"/>
      <c r="L96" s="46" t="s">
        <v>111</v>
      </c>
      <c r="M96" s="50"/>
      <c r="N96" s="50"/>
      <c r="O96" s="50"/>
      <c r="P96" s="51"/>
    </row>
    <row r="97" spans="1:16" x14ac:dyDescent="0.2">
      <c r="A97" s="82"/>
      <c r="B97" s="26"/>
      <c r="C97" s="26"/>
      <c r="D97" s="45" t="s">
        <v>84</v>
      </c>
      <c r="E97" s="75" t="s">
        <v>37</v>
      </c>
      <c r="F97" s="76" t="s">
        <v>38</v>
      </c>
      <c r="G97" s="76" t="s">
        <v>39</v>
      </c>
      <c r="H97" s="77" t="s">
        <v>40</v>
      </c>
      <c r="I97" s="26"/>
      <c r="J97" s="26"/>
      <c r="K97" s="26"/>
      <c r="L97" s="45" t="s">
        <v>84</v>
      </c>
      <c r="M97" s="75" t="s">
        <v>37</v>
      </c>
      <c r="N97" s="76" t="s">
        <v>38</v>
      </c>
      <c r="O97" s="76" t="s">
        <v>39</v>
      </c>
      <c r="P97" s="77" t="s">
        <v>40</v>
      </c>
    </row>
    <row r="98" spans="1:16" x14ac:dyDescent="0.2">
      <c r="A98" s="82"/>
      <c r="B98" s="26"/>
      <c r="C98" s="26"/>
      <c r="D98" s="4">
        <f>D91+$H$94*(D93-D91)</f>
        <v>623.06034482758605</v>
      </c>
      <c r="E98" s="41">
        <f t="shared" ref="E98:H98" si="21">E91+$H$94*(E93-E91)</f>
        <v>3.4906336206896547</v>
      </c>
      <c r="F98" s="4">
        <f t="shared" si="21"/>
        <v>1219.1318965517241</v>
      </c>
      <c r="G98" s="4">
        <f t="shared" si="21"/>
        <v>1335.3530172413793</v>
      </c>
      <c r="H98" s="39">
        <f t="shared" si="21"/>
        <v>1.7</v>
      </c>
      <c r="I98" s="26"/>
      <c r="J98" s="26"/>
      <c r="K98" s="26"/>
      <c r="L98" s="4">
        <f>L91+$P$94*(L93-L91)</f>
        <v>649.89293361884347</v>
      </c>
      <c r="M98" s="41">
        <f t="shared" ref="M98:P98" si="22">M91+$P$94*(M93-M91)</f>
        <v>3.2181563169164873</v>
      </c>
      <c r="N98" s="4">
        <f t="shared" si="22"/>
        <v>1228.8072805139186</v>
      </c>
      <c r="O98" s="4">
        <f t="shared" si="22"/>
        <v>1347.8946466809421</v>
      </c>
      <c r="P98" s="39">
        <f t="shared" si="22"/>
        <v>1.7</v>
      </c>
    </row>
    <row r="99" spans="1:16" x14ac:dyDescent="0.2">
      <c r="A99" s="82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34"/>
    </row>
    <row r="100" spans="1:16" x14ac:dyDescent="0.2">
      <c r="A100" s="83">
        <f>A59</f>
        <v>180</v>
      </c>
      <c r="B100" s="26" t="s">
        <v>92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34"/>
    </row>
    <row r="101" spans="1:16" x14ac:dyDescent="0.2">
      <c r="A101" s="83">
        <f>A55</f>
        <v>193</v>
      </c>
      <c r="B101" s="26" t="s">
        <v>104</v>
      </c>
      <c r="C101" s="26"/>
      <c r="D101" s="46" t="s">
        <v>112</v>
      </c>
      <c r="E101" s="50"/>
      <c r="F101" s="50"/>
      <c r="G101" s="50"/>
      <c r="H101" s="51"/>
      <c r="I101" s="26"/>
      <c r="J101" s="26"/>
      <c r="K101" s="26"/>
      <c r="L101" s="26"/>
      <c r="M101" s="26"/>
      <c r="N101" s="26"/>
      <c r="O101" s="26"/>
      <c r="P101" s="34"/>
    </row>
    <row r="102" spans="1:16" x14ac:dyDescent="0.2">
      <c r="A102" s="83">
        <f>A62</f>
        <v>200</v>
      </c>
      <c r="B102" s="26" t="s">
        <v>106</v>
      </c>
      <c r="C102" s="26"/>
      <c r="D102" s="45" t="s">
        <v>84</v>
      </c>
      <c r="E102" s="75" t="s">
        <v>37</v>
      </c>
      <c r="F102" s="76" t="s">
        <v>38</v>
      </c>
      <c r="G102" s="76" t="s">
        <v>39</v>
      </c>
      <c r="H102" s="77" t="s">
        <v>40</v>
      </c>
      <c r="I102" s="26"/>
      <c r="J102" s="26"/>
      <c r="K102" s="26"/>
      <c r="L102" s="26"/>
      <c r="M102" s="26"/>
      <c r="N102" s="26"/>
      <c r="O102" s="26"/>
      <c r="P102" s="34"/>
    </row>
    <row r="103" spans="1:16" x14ac:dyDescent="0.2">
      <c r="A103" s="37">
        <f>(A101-A100)/(A102-A100)</f>
        <v>0.65</v>
      </c>
      <c r="B103" s="30" t="s">
        <v>101</v>
      </c>
      <c r="C103" s="30"/>
      <c r="D103" s="4">
        <f>D98+$A$103*(L98-D98)</f>
        <v>640.50152754190333</v>
      </c>
      <c r="E103" s="41">
        <f t="shared" ref="E103:H103" si="23">E98+$A$103*(M98-E98)</f>
        <v>3.3135233732370959</v>
      </c>
      <c r="F103" s="4">
        <f t="shared" si="23"/>
        <v>1225.4208961271506</v>
      </c>
      <c r="G103" s="4">
        <f t="shared" si="23"/>
        <v>1343.5050763770951</v>
      </c>
      <c r="H103" s="39">
        <f t="shared" si="23"/>
        <v>1.7</v>
      </c>
      <c r="I103" s="30"/>
      <c r="J103" s="30"/>
      <c r="K103" s="30"/>
      <c r="L103" s="30"/>
      <c r="M103" s="30"/>
      <c r="N103" s="30"/>
      <c r="O103" s="30"/>
      <c r="P103" s="35"/>
    </row>
    <row r="105" spans="1:16" ht="15.75" x14ac:dyDescent="0.25">
      <c r="A105" s="74" t="s">
        <v>113</v>
      </c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 x14ac:dyDescent="0.2">
      <c r="A106" s="85">
        <v>201</v>
      </c>
      <c r="B106" s="18" t="s">
        <v>35</v>
      </c>
      <c r="C106" s="73" t="s">
        <v>35</v>
      </c>
      <c r="D106" s="45" t="s">
        <v>84</v>
      </c>
      <c r="E106" s="75" t="s">
        <v>37</v>
      </c>
      <c r="F106" s="76" t="s">
        <v>38</v>
      </c>
      <c r="G106" s="76" t="s">
        <v>39</v>
      </c>
      <c r="H106" s="77" t="s">
        <v>40</v>
      </c>
      <c r="I106" s="101" t="s">
        <v>128</v>
      </c>
      <c r="J106" s="50"/>
      <c r="K106" s="50"/>
      <c r="L106" s="50"/>
      <c r="M106" s="50"/>
      <c r="N106" s="50"/>
      <c r="O106" s="50"/>
      <c r="P106" s="51"/>
    </row>
    <row r="107" spans="1:16" x14ac:dyDescent="0.2">
      <c r="A107" s="57">
        <v>1301</v>
      </c>
      <c r="B107" s="36" t="s">
        <v>114</v>
      </c>
      <c r="C107" s="79">
        <f>A106</f>
        <v>201</v>
      </c>
      <c r="D107" s="79">
        <f>D154</f>
        <v>560.19638047138039</v>
      </c>
      <c r="E107" s="80">
        <f t="shared" ref="E107:H107" si="24">E154</f>
        <v>2.9143796851851849</v>
      </c>
      <c r="F107" s="79">
        <f t="shared" si="24"/>
        <v>1192.7556488215489</v>
      </c>
      <c r="G107" s="79">
        <f t="shared" si="24"/>
        <v>1301</v>
      </c>
      <c r="H107" s="81">
        <f t="shared" si="24"/>
        <v>1.655846465151515</v>
      </c>
      <c r="I107" s="101" t="s">
        <v>202</v>
      </c>
      <c r="J107" s="50"/>
      <c r="K107" s="50"/>
      <c r="L107" s="50"/>
      <c r="M107" s="50"/>
      <c r="N107" s="50"/>
      <c r="O107" s="50"/>
      <c r="P107" s="51"/>
    </row>
    <row r="108" spans="1:16" x14ac:dyDescent="0.2">
      <c r="A108" s="82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34"/>
    </row>
    <row r="109" spans="1:16" x14ac:dyDescent="0.2">
      <c r="A109" s="36">
        <f>MATCH(A106,SuperheatedEnglish!A:A)</f>
        <v>155</v>
      </c>
      <c r="B109" s="26" t="s">
        <v>85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34"/>
    </row>
    <row r="110" spans="1:16" x14ac:dyDescent="0.2">
      <c r="A110" s="36">
        <f>INDEX(SuperheatedEnglish!B:B,A109)</f>
        <v>200</v>
      </c>
      <c r="B110" s="26" t="s">
        <v>86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34"/>
    </row>
    <row r="111" spans="1:16" x14ac:dyDescent="0.2">
      <c r="A111" s="36">
        <f>COUNTIF(SuperheatedEnglish!B:B,A110)</f>
        <v>12</v>
      </c>
      <c r="B111" s="26" t="s">
        <v>87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34"/>
    </row>
    <row r="112" spans="1:16" x14ac:dyDescent="0.2">
      <c r="A112" s="36">
        <f>A109+A111</f>
        <v>167</v>
      </c>
      <c r="B112" s="26" t="s">
        <v>88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34"/>
    </row>
    <row r="113" spans="1:16" x14ac:dyDescent="0.2">
      <c r="A113" s="36">
        <f>INDEX(SuperheatedEnglish!B:B,A112)</f>
        <v>250</v>
      </c>
      <c r="B113" s="26" t="s">
        <v>89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34"/>
    </row>
    <row r="114" spans="1:16" x14ac:dyDescent="0.2">
      <c r="A114" s="36">
        <f>COUNTIF(SuperheatedEnglish!B:B,A113)</f>
        <v>12</v>
      </c>
      <c r="B114" s="26" t="s">
        <v>90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34"/>
    </row>
    <row r="115" spans="1:16" x14ac:dyDescent="0.2">
      <c r="A115" s="36" t="b">
        <f>AND(A110&lt;=A106,A113&gt;A106)</f>
        <v>1</v>
      </c>
      <c r="B115" s="26" t="s">
        <v>91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34"/>
    </row>
    <row r="116" spans="1:16" x14ac:dyDescent="0.2">
      <c r="A116" s="82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34"/>
    </row>
    <row r="117" spans="1:16" x14ac:dyDescent="0.2">
      <c r="A117" s="82"/>
      <c r="B117" s="46" t="s">
        <v>92</v>
      </c>
      <c r="C117" s="50"/>
      <c r="D117" s="47">
        <f>A110</f>
        <v>200</v>
      </c>
      <c r="E117" s="47" t="s">
        <v>221</v>
      </c>
      <c r="F117" s="47"/>
      <c r="G117" s="47"/>
      <c r="H117" s="48"/>
      <c r="I117" s="162"/>
      <c r="J117" s="46" t="s">
        <v>93</v>
      </c>
      <c r="K117" s="47"/>
      <c r="L117" s="47">
        <f>A113</f>
        <v>250</v>
      </c>
      <c r="M117" s="47" t="s">
        <v>221</v>
      </c>
      <c r="N117" s="50"/>
      <c r="O117" s="50"/>
      <c r="P117" s="51"/>
    </row>
    <row r="118" spans="1:16" x14ac:dyDescent="0.2">
      <c r="A118" s="45" t="s">
        <v>42</v>
      </c>
      <c r="B118" s="36" t="s">
        <v>94</v>
      </c>
      <c r="C118" s="36" t="s">
        <v>95</v>
      </c>
      <c r="D118" s="45" t="s">
        <v>84</v>
      </c>
      <c r="E118" s="75" t="s">
        <v>37</v>
      </c>
      <c r="F118" s="76" t="s">
        <v>38</v>
      </c>
      <c r="G118" s="76" t="s">
        <v>39</v>
      </c>
      <c r="H118" s="77" t="s">
        <v>40</v>
      </c>
      <c r="I118" s="26"/>
      <c r="J118" s="36" t="s">
        <v>94</v>
      </c>
      <c r="K118" s="36" t="s">
        <v>95</v>
      </c>
      <c r="L118" s="45" t="s">
        <v>84</v>
      </c>
      <c r="M118" s="75" t="s">
        <v>37</v>
      </c>
      <c r="N118" s="76" t="s">
        <v>38</v>
      </c>
      <c r="O118" s="76" t="s">
        <v>39</v>
      </c>
      <c r="P118" s="77" t="s">
        <v>40</v>
      </c>
    </row>
    <row r="119" spans="1:16" x14ac:dyDescent="0.2">
      <c r="A119" s="45">
        <v>1</v>
      </c>
      <c r="B119" s="83">
        <f>A109</f>
        <v>155</v>
      </c>
      <c r="C119" s="36" t="b">
        <f>ISNUMBER(B119)</f>
        <v>1</v>
      </c>
      <c r="D119" s="4">
        <f>IF($C119,INDEX(SuperheatedEnglish!C:C,$B119),"-")</f>
        <v>381.8</v>
      </c>
      <c r="E119" s="41">
        <f>IF($C119,INDEX(SuperheatedEnglish!D:D,$B119),"-")</f>
        <v>2.2890000000000001</v>
      </c>
      <c r="F119" s="4">
        <f>IF($C119,INDEX(SuperheatedEnglish!E:E,$B119),"-")</f>
        <v>1114.5999999999999</v>
      </c>
      <c r="G119" s="4">
        <f>IF($C119,INDEX(SuperheatedEnglish!F:F,$B119),"-")</f>
        <v>1199.3</v>
      </c>
      <c r="H119" s="39">
        <f>IF($C119,INDEX(SuperheatedEnglish!G:G,$B119),"-")</f>
        <v>1.5464</v>
      </c>
      <c r="I119" s="26"/>
      <c r="J119" s="83">
        <f>A112</f>
        <v>167</v>
      </c>
      <c r="K119" s="36" t="b">
        <f>ISNUMBER(J119)</f>
        <v>1</v>
      </c>
      <c r="L119" s="4">
        <f>IF($K119,INDEX(SuperheatedEnglish!C:C,$J119),"-")</f>
        <v>401</v>
      </c>
      <c r="M119" s="41">
        <f>IF($K119,INDEX(SuperheatedEnglish!D:D,$J119),"-")</f>
        <v>1.845</v>
      </c>
      <c r="N119" s="4">
        <f>IF($K119,INDEX(SuperheatedEnglish!E:E,$J119),"-")</f>
        <v>1116.7</v>
      </c>
      <c r="O119" s="4">
        <f>IF($K119,INDEX(SuperheatedEnglish!F:F,$J119),"-")</f>
        <v>1202.0999999999999</v>
      </c>
      <c r="P119" s="39">
        <f>IF($K119,INDEX(SuperheatedEnglish!G:G,$J119),"-")</f>
        <v>1.5274000000000001</v>
      </c>
    </row>
    <row r="120" spans="1:16" x14ac:dyDescent="0.2">
      <c r="A120" s="45">
        <v>2</v>
      </c>
      <c r="B120" s="36">
        <f>IF($A120&gt;$A$111,"-",B119+1)</f>
        <v>156</v>
      </c>
      <c r="C120" s="36" t="b">
        <f t="shared" ref="C120:C138" si="25">ISNUMBER(B120)</f>
        <v>1</v>
      </c>
      <c r="D120" s="4">
        <f>IF($C120,INDEX(SuperheatedEnglish!C:C,$B120),"-")</f>
        <v>400</v>
      </c>
      <c r="E120" s="41">
        <f>IF($C120,INDEX(SuperheatedEnglish!D:D,$B120),"-")</f>
        <v>2.3610000000000002</v>
      </c>
      <c r="F120" s="4">
        <f>IF($C120,INDEX(SuperheatedEnglish!E:E,$B120),"-")</f>
        <v>1123.5</v>
      </c>
      <c r="G120" s="4">
        <f>IF($C120,INDEX(SuperheatedEnglish!F:F,$B120),"-")</f>
        <v>1210.8</v>
      </c>
      <c r="H120" s="39">
        <f>IF($C120,INDEX(SuperheatedEnglish!G:G,$B120),"-")</f>
        <v>1.56</v>
      </c>
      <c r="I120" s="26"/>
      <c r="J120" s="36">
        <f>IF($A120&gt;$A$114,"-",J119+1)</f>
        <v>168</v>
      </c>
      <c r="K120" s="36" t="b">
        <f t="shared" ref="K120:K138" si="26">ISNUMBER(J120)</f>
        <v>1</v>
      </c>
      <c r="L120" s="4">
        <f>IF($K120,INDEX(SuperheatedEnglish!C:C,$J120),"-")</f>
        <v>450</v>
      </c>
      <c r="M120" s="41">
        <f>IF($K120,INDEX(SuperheatedEnglish!D:D,$J120),"-")</f>
        <v>2.0019999999999998</v>
      </c>
      <c r="N120" s="4">
        <f>IF($K120,INDEX(SuperheatedEnglish!E:E,$J120),"-")</f>
        <v>1141.0999999999999</v>
      </c>
      <c r="O120" s="4">
        <f>IF($K120,INDEX(SuperheatedEnglish!F:F,$J120),"-")</f>
        <v>1233.7</v>
      </c>
      <c r="P120" s="39">
        <f>IF($K120,INDEX(SuperheatedEnglish!G:G,$J120),"-")</f>
        <v>1.5631999999999999</v>
      </c>
    </row>
    <row r="121" spans="1:16" x14ac:dyDescent="0.2">
      <c r="A121" s="45">
        <v>3</v>
      </c>
      <c r="B121" s="36">
        <f t="shared" ref="B121:B138" si="27">IF($A121&gt;$A$111,"-",B120+1)</f>
        <v>157</v>
      </c>
      <c r="C121" s="36" t="b">
        <f t="shared" si="25"/>
        <v>1</v>
      </c>
      <c r="D121" s="4">
        <f>IF($C121,INDEX(SuperheatedEnglish!C:C,$B121),"-")</f>
        <v>450</v>
      </c>
      <c r="E121" s="41">
        <f>IF($C121,INDEX(SuperheatedEnglish!D:D,$B121),"-")</f>
        <v>2.548</v>
      </c>
      <c r="F121" s="4">
        <f>IF($C121,INDEX(SuperheatedEnglish!E:E,$B121),"-")</f>
        <v>1146.4000000000001</v>
      </c>
      <c r="G121" s="4">
        <f>IF($C121,INDEX(SuperheatedEnglish!F:F,$B121),"-")</f>
        <v>1240.7</v>
      </c>
      <c r="H121" s="39">
        <f>IF($C121,INDEX(SuperheatedEnglish!G:G,$B121),"-")</f>
        <v>1.5938000000000001</v>
      </c>
      <c r="I121" s="26"/>
      <c r="J121" s="36">
        <f t="shared" ref="J121:J138" si="28">IF($A121&gt;$A$114,"-",J120+1)</f>
        <v>169</v>
      </c>
      <c r="K121" s="36" t="b">
        <f t="shared" si="26"/>
        <v>1</v>
      </c>
      <c r="L121" s="4">
        <f>IF($K121,INDEX(SuperheatedEnglish!C:C,$J121),"-")</f>
        <v>500</v>
      </c>
      <c r="M121" s="41">
        <f>IF($K121,INDEX(SuperheatedEnglish!D:D,$J121),"-")</f>
        <v>2.15</v>
      </c>
      <c r="N121" s="4">
        <f>IF($K121,INDEX(SuperheatedEnglish!E:E,$J121),"-")</f>
        <v>1163.8</v>
      </c>
      <c r="O121" s="4">
        <f>IF($K121,INDEX(SuperheatedEnglish!F:F,$J121),"-")</f>
        <v>1263.3</v>
      </c>
      <c r="P121" s="39">
        <f>IF($K121,INDEX(SuperheatedEnglish!G:G,$J121),"-")</f>
        <v>1.5948</v>
      </c>
    </row>
    <row r="122" spans="1:16" x14ac:dyDescent="0.2">
      <c r="A122" s="45">
        <v>4</v>
      </c>
      <c r="B122" s="36">
        <f t="shared" si="27"/>
        <v>158</v>
      </c>
      <c r="C122" s="36" t="b">
        <f t="shared" si="25"/>
        <v>1</v>
      </c>
      <c r="D122" s="4">
        <f>IF($C122,INDEX(SuperheatedEnglish!C:C,$B122),"-")</f>
        <v>500</v>
      </c>
      <c r="E122" s="41">
        <f>IF($C122,INDEX(SuperheatedEnglish!D:D,$B122),"-")</f>
        <v>2.7240000000000002</v>
      </c>
      <c r="F122" s="4">
        <f>IF($C122,INDEX(SuperheatedEnglish!E:E,$B122),"-")</f>
        <v>1168</v>
      </c>
      <c r="G122" s="4">
        <f>IF($C122,INDEX(SuperheatedEnglish!F:F,$B122),"-")</f>
        <v>1268.8</v>
      </c>
      <c r="H122" s="39">
        <f>IF($C122,INDEX(SuperheatedEnglish!G:G,$B122),"-")</f>
        <v>1.6238999999999999</v>
      </c>
      <c r="I122" s="26"/>
      <c r="J122" s="36">
        <f t="shared" si="28"/>
        <v>170</v>
      </c>
      <c r="K122" s="36" t="b">
        <f t="shared" si="26"/>
        <v>1</v>
      </c>
      <c r="L122" s="4">
        <f>IF($K122,INDEX(SuperheatedEnglish!C:C,$J122),"-")</f>
        <v>550</v>
      </c>
      <c r="M122" s="41">
        <f>IF($K122,INDEX(SuperheatedEnglish!D:D,$J122),"-")</f>
        <v>2.29</v>
      </c>
      <c r="N122" s="4">
        <f>IF($K122,INDEX(SuperheatedEnglish!E:E,$J122),"-")</f>
        <v>1185.3</v>
      </c>
      <c r="O122" s="4">
        <f>IF($K122,INDEX(SuperheatedEnglish!F:F,$J122),"-")</f>
        <v>1291.3</v>
      </c>
      <c r="P122" s="39">
        <f>IF($K122,INDEX(SuperheatedEnglish!G:G,$J122),"-")</f>
        <v>1.6233</v>
      </c>
    </row>
    <row r="123" spans="1:16" x14ac:dyDescent="0.2">
      <c r="A123" s="45">
        <v>5</v>
      </c>
      <c r="B123" s="36">
        <f t="shared" si="27"/>
        <v>159</v>
      </c>
      <c r="C123" s="36" t="b">
        <f t="shared" si="25"/>
        <v>1</v>
      </c>
      <c r="D123" s="4">
        <f>IF($C123,INDEX(SuperheatedEnglish!C:C,$B123),"-")</f>
        <v>550</v>
      </c>
      <c r="E123" s="41">
        <f>IF($C123,INDEX(SuperheatedEnglish!D:D,$B123),"-")</f>
        <v>2.8929999999999998</v>
      </c>
      <c r="F123" s="4">
        <f>IF($C123,INDEX(SuperheatedEnglish!E:E,$B123),"-")</f>
        <v>1188.7</v>
      </c>
      <c r="G123" s="4">
        <f>IF($C123,INDEX(SuperheatedEnglish!F:F,$B123),"-")</f>
        <v>1295.7</v>
      </c>
      <c r="H123" s="39">
        <f>IF($C123,INDEX(SuperheatedEnglish!G:G,$B123),"-")</f>
        <v>1.6512</v>
      </c>
      <c r="I123" s="26"/>
      <c r="J123" s="36">
        <f t="shared" si="28"/>
        <v>171</v>
      </c>
      <c r="K123" s="36" t="b">
        <f t="shared" si="26"/>
        <v>1</v>
      </c>
      <c r="L123" s="4">
        <f>IF($K123,INDEX(SuperheatedEnglish!C:C,$J123),"-")</f>
        <v>600</v>
      </c>
      <c r="M123" s="41">
        <f>IF($K123,INDEX(SuperheatedEnglish!D:D,$J123),"-")</f>
        <v>2.4260000000000002</v>
      </c>
      <c r="N123" s="4">
        <f>IF($K123,INDEX(SuperheatedEnglish!E:E,$J123),"-")</f>
        <v>1206.0999999999999</v>
      </c>
      <c r="O123" s="4">
        <f>IF($K123,INDEX(SuperheatedEnglish!F:F,$J123),"-")</f>
        <v>1318.3</v>
      </c>
      <c r="P123" s="39">
        <f>IF($K123,INDEX(SuperheatedEnglish!G:G,$J123),"-")</f>
        <v>1.6494</v>
      </c>
    </row>
    <row r="124" spans="1:16" x14ac:dyDescent="0.2">
      <c r="A124" s="45">
        <v>6</v>
      </c>
      <c r="B124" s="36">
        <f t="shared" si="27"/>
        <v>160</v>
      </c>
      <c r="C124" s="36" t="b">
        <f t="shared" si="25"/>
        <v>1</v>
      </c>
      <c r="D124" s="4">
        <f>IF($C124,INDEX(SuperheatedEnglish!C:C,$B124),"-")</f>
        <v>600</v>
      </c>
      <c r="E124" s="41">
        <f>IF($C124,INDEX(SuperheatedEnglish!D:D,$B124),"-")</f>
        <v>3.0579999999999998</v>
      </c>
      <c r="F124" s="4">
        <f>IF($C124,INDEX(SuperheatedEnglish!E:E,$B124),"-")</f>
        <v>1208.9000000000001</v>
      </c>
      <c r="G124" s="4">
        <f>IF($C124,INDEX(SuperheatedEnglish!F:F,$B124),"-")</f>
        <v>1322.1</v>
      </c>
      <c r="H124" s="39">
        <f>IF($C124,INDEX(SuperheatedEnglish!G:G,$B124),"-")</f>
        <v>1.6767000000000001</v>
      </c>
      <c r="I124" s="26"/>
      <c r="J124" s="36">
        <f t="shared" si="28"/>
        <v>172</v>
      </c>
      <c r="K124" s="36" t="b">
        <f t="shared" si="26"/>
        <v>1</v>
      </c>
      <c r="L124" s="4">
        <f>IF($K124,INDEX(SuperheatedEnglish!C:C,$J124),"-")</f>
        <v>700</v>
      </c>
      <c r="M124" s="41">
        <f>IF($K124,INDEX(SuperheatedEnglish!D:D,$J124),"-")</f>
        <v>2.6880000000000002</v>
      </c>
      <c r="N124" s="4">
        <f>IF($K124,INDEX(SuperheatedEnglish!E:E,$J124),"-")</f>
        <v>1246.7</v>
      </c>
      <c r="O124" s="4">
        <f>IF($K124,INDEX(SuperheatedEnglish!F:F,$J124),"-")</f>
        <v>1371.1</v>
      </c>
      <c r="P124" s="39">
        <f>IF($K124,INDEX(SuperheatedEnglish!G:G,$J124),"-")</f>
        <v>1.6970000000000001</v>
      </c>
    </row>
    <row r="125" spans="1:16" x14ac:dyDescent="0.2">
      <c r="A125" s="45">
        <v>7</v>
      </c>
      <c r="B125" s="36">
        <f t="shared" si="27"/>
        <v>161</v>
      </c>
      <c r="C125" s="36" t="b">
        <f t="shared" si="25"/>
        <v>1</v>
      </c>
      <c r="D125" s="4">
        <f>IF($C125,INDEX(SuperheatedEnglish!C:C,$B125),"-")</f>
        <v>700</v>
      </c>
      <c r="E125" s="41">
        <f>IF($C125,INDEX(SuperheatedEnglish!D:D,$B125),"-")</f>
        <v>3.379</v>
      </c>
      <c r="F125" s="4">
        <f>IF($C125,INDEX(SuperheatedEnglish!E:E,$B125),"-")</f>
        <v>1248.8</v>
      </c>
      <c r="G125" s="4">
        <f>IF($C125,INDEX(SuperheatedEnglish!F:F,$B125),"-")</f>
        <v>1373.8</v>
      </c>
      <c r="H125" s="39">
        <f>IF($C125,INDEX(SuperheatedEnglish!G:G,$B125),"-")</f>
        <v>1.7234</v>
      </c>
      <c r="I125" s="26"/>
      <c r="J125" s="36">
        <f t="shared" si="28"/>
        <v>173</v>
      </c>
      <c r="K125" s="36" t="b">
        <f t="shared" si="26"/>
        <v>1</v>
      </c>
      <c r="L125" s="4">
        <f>IF($K125,INDEX(SuperheatedEnglish!C:C,$J125),"-")</f>
        <v>800</v>
      </c>
      <c r="M125" s="41">
        <f>IF($K125,INDEX(SuperheatedEnglish!D:D,$J125),"-")</f>
        <v>2.9430000000000001</v>
      </c>
      <c r="N125" s="4">
        <f>IF($K125,INDEX(SuperheatedEnglish!E:E,$J125),"-")</f>
        <v>1287</v>
      </c>
      <c r="O125" s="4">
        <f>IF($K125,INDEX(SuperheatedEnglish!F:F,$J125),"-")</f>
        <v>1423.2</v>
      </c>
      <c r="P125" s="39">
        <f>IF($K125,INDEX(SuperheatedEnglish!G:G,$J125),"-")</f>
        <v>1.7301</v>
      </c>
    </row>
    <row r="126" spans="1:16" x14ac:dyDescent="0.2">
      <c r="A126" s="45">
        <v>8</v>
      </c>
      <c r="B126" s="36">
        <f t="shared" si="27"/>
        <v>162</v>
      </c>
      <c r="C126" s="36" t="b">
        <f t="shared" si="25"/>
        <v>1</v>
      </c>
      <c r="D126" s="4">
        <f>IF($C126,INDEX(SuperheatedEnglish!C:C,$B126),"-")</f>
        <v>800</v>
      </c>
      <c r="E126" s="41">
        <f>IF($C126,INDEX(SuperheatedEnglish!D:D,$B126),"-")</f>
        <v>3.6930000000000001</v>
      </c>
      <c r="F126" s="4">
        <f>IF($C126,INDEX(SuperheatedEnglish!E:E,$B126),"-")</f>
        <v>1288.5999999999999</v>
      </c>
      <c r="G126" s="4">
        <f>IF($C126,INDEX(SuperheatedEnglish!F:F,$B126),"-")</f>
        <v>1425.3</v>
      </c>
      <c r="H126" s="39">
        <f>IF($C126,INDEX(SuperheatedEnglish!G:G,$B126),"-")</f>
        <v>1.766</v>
      </c>
      <c r="I126" s="26"/>
      <c r="J126" s="36">
        <f t="shared" si="28"/>
        <v>174</v>
      </c>
      <c r="K126" s="36" t="b">
        <f t="shared" si="26"/>
        <v>1</v>
      </c>
      <c r="L126" s="4">
        <f>IF($K126,INDEX(SuperheatedEnglish!C:C,$J126),"-")</f>
        <v>900</v>
      </c>
      <c r="M126" s="41">
        <f>IF($K126,INDEX(SuperheatedEnglish!D:D,$J126),"-")</f>
        <v>3.1930000000000001</v>
      </c>
      <c r="N126" s="4">
        <f>IF($K126,INDEX(SuperheatedEnglish!E:E,$J126),"-")</f>
        <v>1327.6</v>
      </c>
      <c r="O126" s="4">
        <f>IF($K126,INDEX(SuperheatedEnglish!F:F,$J126),"-")</f>
        <v>1475.3</v>
      </c>
      <c r="P126" s="39">
        <f>IF($K126,INDEX(SuperheatedEnglish!G:G,$J126),"-")</f>
        <v>1.7799</v>
      </c>
    </row>
    <row r="127" spans="1:16" x14ac:dyDescent="0.2">
      <c r="A127" s="45">
        <v>9</v>
      </c>
      <c r="B127" s="36">
        <f t="shared" si="27"/>
        <v>163</v>
      </c>
      <c r="C127" s="36" t="b">
        <f t="shared" si="25"/>
        <v>1</v>
      </c>
      <c r="D127" s="4">
        <f>IF($C127,INDEX(SuperheatedEnglish!C:C,$B127),"-")</f>
        <v>900</v>
      </c>
      <c r="E127" s="41">
        <f>IF($C127,INDEX(SuperheatedEnglish!D:D,$B127),"-")</f>
        <v>4.0030000000000001</v>
      </c>
      <c r="F127" s="4">
        <f>IF($C127,INDEX(SuperheatedEnglish!E:E,$B127),"-")</f>
        <v>1328.9</v>
      </c>
      <c r="G127" s="4">
        <f>IF($C127,INDEX(SuperheatedEnglish!F:F,$B127),"-")</f>
        <v>1477.1</v>
      </c>
      <c r="H127" s="39">
        <f>IF($C127,INDEX(SuperheatedEnglish!G:G,$B127),"-")</f>
        <v>1.8055000000000001</v>
      </c>
      <c r="I127" s="26"/>
      <c r="J127" s="36">
        <f t="shared" si="28"/>
        <v>175</v>
      </c>
      <c r="K127" s="36" t="b">
        <f t="shared" si="26"/>
        <v>1</v>
      </c>
      <c r="L127" s="4">
        <f>IF($K127,INDEX(SuperheatedEnglish!C:C,$J127),"-")</f>
        <v>1000</v>
      </c>
      <c r="M127" s="41">
        <f>IF($K127,INDEX(SuperheatedEnglish!D:D,$J127),"-")</f>
        <v>3.44</v>
      </c>
      <c r="N127" s="4">
        <f>IF($K127,INDEX(SuperheatedEnglish!E:E,$J127),"-")</f>
        <v>1368.7</v>
      </c>
      <c r="O127" s="4">
        <f>IF($K127,INDEX(SuperheatedEnglish!F:F,$J127),"-")</f>
        <v>1527.9</v>
      </c>
      <c r="P127" s="39">
        <f>IF($K127,INDEX(SuperheatedEnglish!G:G,$J127),"-")</f>
        <v>1.8171999999999999</v>
      </c>
    </row>
    <row r="128" spans="1:16" x14ac:dyDescent="0.2">
      <c r="A128" s="45">
        <v>10</v>
      </c>
      <c r="B128" s="36">
        <f t="shared" si="27"/>
        <v>164</v>
      </c>
      <c r="C128" s="36" t="b">
        <f t="shared" si="25"/>
        <v>1</v>
      </c>
      <c r="D128" s="4">
        <f>IF($C128,INDEX(SuperheatedEnglish!C:C,$B128),"-")</f>
        <v>1000</v>
      </c>
      <c r="E128" s="41">
        <f>IF($C128,INDEX(SuperheatedEnglish!D:D,$B128),"-")</f>
        <v>4.3099999999999996</v>
      </c>
      <c r="F128" s="4">
        <f>IF($C128,INDEX(SuperheatedEnglish!E:E,$B128),"-")</f>
        <v>1369.8</v>
      </c>
      <c r="G128" s="4">
        <f>IF($C128,INDEX(SuperheatedEnglish!F:F,$B128),"-")</f>
        <v>1529.3</v>
      </c>
      <c r="H128" s="39">
        <f>IF($C128,INDEX(SuperheatedEnglish!G:G,$B128),"-")</f>
        <v>1.8425</v>
      </c>
      <c r="I128" s="26"/>
      <c r="J128" s="36">
        <f t="shared" si="28"/>
        <v>176</v>
      </c>
      <c r="K128" s="36" t="b">
        <f t="shared" si="26"/>
        <v>1</v>
      </c>
      <c r="L128" s="4">
        <f>IF($K128,INDEX(SuperheatedEnglish!C:C,$J128),"-")</f>
        <v>1100</v>
      </c>
      <c r="M128" s="41">
        <f>IF($K128,INDEX(SuperheatedEnglish!D:D,$J128),"-")</f>
        <v>3.6850000000000001</v>
      </c>
      <c r="N128" s="4">
        <f>IF($K128,INDEX(SuperheatedEnglish!E:E,$J128),"-")</f>
        <v>1410.5</v>
      </c>
      <c r="O128" s="4">
        <f>IF($K128,INDEX(SuperheatedEnglish!F:F,$J128),"-")</f>
        <v>1581</v>
      </c>
      <c r="P128" s="39">
        <f>IF($K128,INDEX(SuperheatedEnglish!G:G,$J128),"-")</f>
        <v>1.8524</v>
      </c>
    </row>
    <row r="129" spans="1:16" x14ac:dyDescent="0.2">
      <c r="A129" s="45">
        <v>11</v>
      </c>
      <c r="B129" s="36">
        <f t="shared" si="27"/>
        <v>165</v>
      </c>
      <c r="C129" s="36" t="b">
        <f t="shared" si="25"/>
        <v>1</v>
      </c>
      <c r="D129" s="4">
        <f>IF($C129,INDEX(SuperheatedEnglish!C:C,$B129),"-")</f>
        <v>1100</v>
      </c>
      <c r="E129" s="41">
        <f>IF($C129,INDEX(SuperheatedEnglish!D:D,$B129),"-")</f>
        <v>4.6150000000000002</v>
      </c>
      <c r="F129" s="4">
        <f>IF($C129,INDEX(SuperheatedEnglish!E:E,$B129),"-")</f>
        <v>1411.4</v>
      </c>
      <c r="G129" s="4">
        <f>IF($C129,INDEX(SuperheatedEnglish!F:F,$B129),"-")</f>
        <v>1582.2</v>
      </c>
      <c r="H129" s="39">
        <f>IF($C129,INDEX(SuperheatedEnglish!G:G,$B129),"-")</f>
        <v>1.8775999999999999</v>
      </c>
      <c r="I129" s="26"/>
      <c r="J129" s="36">
        <f t="shared" si="28"/>
        <v>177</v>
      </c>
      <c r="K129" s="36" t="b">
        <f t="shared" si="26"/>
        <v>1</v>
      </c>
      <c r="L129" s="4">
        <f>IF($K129,INDEX(SuperheatedEnglish!C:C,$J129),"-")</f>
        <v>1200</v>
      </c>
      <c r="M129" s="41">
        <f>IF($K129,INDEX(SuperheatedEnglish!D:D,$J129),"-")</f>
        <v>3.9289999999999998</v>
      </c>
      <c r="N129" s="4">
        <f>IF($K129,INDEX(SuperheatedEnglish!E:E,$J129),"-")</f>
        <v>1453</v>
      </c>
      <c r="O129" s="4">
        <f>IF($K129,INDEX(SuperheatedEnglish!F:F,$J129),"-")</f>
        <v>1634.8</v>
      </c>
      <c r="P129" s="39">
        <f>IF($K129,INDEX(SuperheatedEnglish!G:G,$J129),"-")</f>
        <v>1.8857999999999999</v>
      </c>
    </row>
    <row r="130" spans="1:16" x14ac:dyDescent="0.2">
      <c r="A130" s="45">
        <v>12</v>
      </c>
      <c r="B130" s="36">
        <f t="shared" si="27"/>
        <v>166</v>
      </c>
      <c r="C130" s="36" t="b">
        <f t="shared" si="25"/>
        <v>1</v>
      </c>
      <c r="D130" s="4">
        <f>IF($C130,INDEX(SuperheatedEnglish!C:C,$B130),"-")</f>
        <v>1200</v>
      </c>
      <c r="E130" s="41">
        <f>IF($C130,INDEX(SuperheatedEnglish!D:D,$B130),"-")</f>
        <v>4.9180000000000001</v>
      </c>
      <c r="F130" s="4">
        <f>IF($C130,INDEX(SuperheatedEnglish!E:E,$B130),"-")</f>
        <v>1453.7</v>
      </c>
      <c r="G130" s="4">
        <f>IF($C130,INDEX(SuperheatedEnglish!F:F,$B130),"-")</f>
        <v>1635.7</v>
      </c>
      <c r="H130" s="39">
        <f>IF($C130,INDEX(SuperheatedEnglish!G:G,$B130),"-")</f>
        <v>1.9109</v>
      </c>
      <c r="I130" s="26"/>
      <c r="J130" s="36">
        <f t="shared" si="28"/>
        <v>178</v>
      </c>
      <c r="K130" s="36" t="b">
        <f t="shared" si="26"/>
        <v>1</v>
      </c>
      <c r="L130" s="4">
        <f>IF($K130,INDEX(SuperheatedEnglish!C:C,$J130),"-")</f>
        <v>1300</v>
      </c>
      <c r="M130" s="41">
        <f>IF($K130,INDEX(SuperheatedEnglish!D:D,$J130),"-")</f>
        <v>4.1719999999999997</v>
      </c>
      <c r="N130" s="4">
        <f>IF($K130,INDEX(SuperheatedEnglish!E:E,$J130),"-")</f>
        <v>1496.3</v>
      </c>
      <c r="O130" s="4">
        <f>IF($K130,INDEX(SuperheatedEnglish!F:F,$J130),"-")</f>
        <v>1689.3</v>
      </c>
      <c r="P130" s="39">
        <f>IF($K130,INDEX(SuperheatedEnglish!G:G,$J130),"-")</f>
        <v>1.9177</v>
      </c>
    </row>
    <row r="131" spans="1:16" x14ac:dyDescent="0.2">
      <c r="A131" s="45">
        <v>13</v>
      </c>
      <c r="B131" s="36" t="str">
        <f t="shared" si="27"/>
        <v>-</v>
      </c>
      <c r="C131" s="36" t="b">
        <f t="shared" si="25"/>
        <v>0</v>
      </c>
      <c r="D131" s="4" t="str">
        <f>IF($C131,INDEX(SuperheatedEnglish!C:C,$B131),"-")</f>
        <v>-</v>
      </c>
      <c r="E131" s="41" t="str">
        <f>IF($C131,INDEX(SuperheatedEnglish!D:D,$B131),"-")</f>
        <v>-</v>
      </c>
      <c r="F131" s="4" t="str">
        <f>IF($C131,INDEX(SuperheatedEnglish!E:E,$B131),"-")</f>
        <v>-</v>
      </c>
      <c r="G131" s="4" t="str">
        <f>IF($C131,INDEX(SuperheatedEnglish!F:F,$B131),"-")</f>
        <v>-</v>
      </c>
      <c r="H131" s="39" t="str">
        <f>IF($C131,INDEX(SuperheatedEnglish!G:G,$B131),"-")</f>
        <v>-</v>
      </c>
      <c r="I131" s="26"/>
      <c r="J131" s="36" t="str">
        <f t="shared" si="28"/>
        <v>-</v>
      </c>
      <c r="K131" s="36" t="b">
        <f t="shared" si="26"/>
        <v>0</v>
      </c>
      <c r="L131" s="4" t="str">
        <f>IF($K131,INDEX(SuperheatedEnglish!C:C,$J131),"-")</f>
        <v>-</v>
      </c>
      <c r="M131" s="41" t="str">
        <f>IF($K131,INDEX(SuperheatedEnglish!D:D,$J131),"-")</f>
        <v>-</v>
      </c>
      <c r="N131" s="4" t="str">
        <f>IF($K131,INDEX(SuperheatedEnglish!E:E,$J131),"-")</f>
        <v>-</v>
      </c>
      <c r="O131" s="4" t="str">
        <f>IF($K131,INDEX(SuperheatedEnglish!F:F,$J131),"-")</f>
        <v>-</v>
      </c>
      <c r="P131" s="39" t="str">
        <f>IF($K131,INDEX(SuperheatedEnglish!G:G,$J131),"-")</f>
        <v>-</v>
      </c>
    </row>
    <row r="132" spans="1:16" x14ac:dyDescent="0.2">
      <c r="A132" s="45">
        <v>14</v>
      </c>
      <c r="B132" s="36" t="str">
        <f t="shared" si="27"/>
        <v>-</v>
      </c>
      <c r="C132" s="36" t="b">
        <f t="shared" si="25"/>
        <v>0</v>
      </c>
      <c r="D132" s="4" t="str">
        <f>IF($C132,INDEX(SuperheatedEnglish!C:C,$B132),"-")</f>
        <v>-</v>
      </c>
      <c r="E132" s="41" t="str">
        <f>IF($C132,INDEX(SuperheatedEnglish!D:D,$B132),"-")</f>
        <v>-</v>
      </c>
      <c r="F132" s="4" t="str">
        <f>IF($C132,INDEX(SuperheatedEnglish!E:E,$B132),"-")</f>
        <v>-</v>
      </c>
      <c r="G132" s="4" t="str">
        <f>IF($C132,INDEX(SuperheatedEnglish!F:F,$B132),"-")</f>
        <v>-</v>
      </c>
      <c r="H132" s="39" t="str">
        <f>IF($C132,INDEX(SuperheatedEnglish!G:G,$B132),"-")</f>
        <v>-</v>
      </c>
      <c r="I132" s="26"/>
      <c r="J132" s="36" t="str">
        <f t="shared" si="28"/>
        <v>-</v>
      </c>
      <c r="K132" s="36" t="b">
        <f t="shared" si="26"/>
        <v>0</v>
      </c>
      <c r="L132" s="4" t="str">
        <f>IF($K132,INDEX(SuperheatedEnglish!C:C,$J132),"-")</f>
        <v>-</v>
      </c>
      <c r="M132" s="41" t="str">
        <f>IF($K132,INDEX(SuperheatedEnglish!D:D,$J132),"-")</f>
        <v>-</v>
      </c>
      <c r="N132" s="4" t="str">
        <f>IF($K132,INDEX(SuperheatedEnglish!E:E,$J132),"-")</f>
        <v>-</v>
      </c>
      <c r="O132" s="4" t="str">
        <f>IF($K132,INDEX(SuperheatedEnglish!F:F,$J132),"-")</f>
        <v>-</v>
      </c>
      <c r="P132" s="39" t="str">
        <f>IF($K132,INDEX(SuperheatedEnglish!G:G,$J132),"-")</f>
        <v>-</v>
      </c>
    </row>
    <row r="133" spans="1:16" x14ac:dyDescent="0.2">
      <c r="A133" s="45">
        <v>15</v>
      </c>
      <c r="B133" s="36" t="str">
        <f t="shared" si="27"/>
        <v>-</v>
      </c>
      <c r="C133" s="36" t="b">
        <f t="shared" si="25"/>
        <v>0</v>
      </c>
      <c r="D133" s="4" t="str">
        <f>IF($C133,INDEX(SuperheatedEnglish!C:C,$B133),"-")</f>
        <v>-</v>
      </c>
      <c r="E133" s="41" t="str">
        <f>IF($C133,INDEX(SuperheatedEnglish!D:D,$B133),"-")</f>
        <v>-</v>
      </c>
      <c r="F133" s="4" t="str">
        <f>IF($C133,INDEX(SuperheatedEnglish!E:E,$B133),"-")</f>
        <v>-</v>
      </c>
      <c r="G133" s="4" t="str">
        <f>IF($C133,INDEX(SuperheatedEnglish!F:F,$B133),"-")</f>
        <v>-</v>
      </c>
      <c r="H133" s="39" t="str">
        <f>IF($C133,INDEX(SuperheatedEnglish!G:G,$B133),"-")</f>
        <v>-</v>
      </c>
      <c r="I133" s="26"/>
      <c r="J133" s="36" t="str">
        <f t="shared" si="28"/>
        <v>-</v>
      </c>
      <c r="K133" s="36" t="b">
        <f t="shared" si="26"/>
        <v>0</v>
      </c>
      <c r="L133" s="4" t="str">
        <f>IF($K133,INDEX(SuperheatedEnglish!C:C,$J133),"-")</f>
        <v>-</v>
      </c>
      <c r="M133" s="41" t="str">
        <f>IF($K133,INDEX(SuperheatedEnglish!D:D,$J133),"-")</f>
        <v>-</v>
      </c>
      <c r="N133" s="4" t="str">
        <f>IF($K133,INDEX(SuperheatedEnglish!E:E,$J133),"-")</f>
        <v>-</v>
      </c>
      <c r="O133" s="4" t="str">
        <f>IF($K133,INDEX(SuperheatedEnglish!F:F,$J133),"-")</f>
        <v>-</v>
      </c>
      <c r="P133" s="39" t="str">
        <f>IF($K133,INDEX(SuperheatedEnglish!G:G,$J133),"-")</f>
        <v>-</v>
      </c>
    </row>
    <row r="134" spans="1:16" x14ac:dyDescent="0.2">
      <c r="A134" s="45">
        <v>16</v>
      </c>
      <c r="B134" s="36" t="str">
        <f t="shared" si="27"/>
        <v>-</v>
      </c>
      <c r="C134" s="36" t="b">
        <f t="shared" si="25"/>
        <v>0</v>
      </c>
      <c r="D134" s="4" t="str">
        <f>IF($C134,INDEX(SuperheatedEnglish!C:C,$B134),"-")</f>
        <v>-</v>
      </c>
      <c r="E134" s="41" t="str">
        <f>IF($C134,INDEX(SuperheatedEnglish!D:D,$B134),"-")</f>
        <v>-</v>
      </c>
      <c r="F134" s="4" t="str">
        <f>IF($C134,INDEX(SuperheatedEnglish!E:E,$B134),"-")</f>
        <v>-</v>
      </c>
      <c r="G134" s="4" t="str">
        <f>IF($C134,INDEX(SuperheatedEnglish!F:F,$B134),"-")</f>
        <v>-</v>
      </c>
      <c r="H134" s="39" t="str">
        <f>IF($C134,INDEX(SuperheatedEnglish!G:G,$B134),"-")</f>
        <v>-</v>
      </c>
      <c r="I134" s="26"/>
      <c r="J134" s="36" t="str">
        <f t="shared" si="28"/>
        <v>-</v>
      </c>
      <c r="K134" s="36" t="b">
        <f t="shared" si="26"/>
        <v>0</v>
      </c>
      <c r="L134" s="4" t="str">
        <f>IF($K134,INDEX(SuperheatedEnglish!C:C,$J134),"-")</f>
        <v>-</v>
      </c>
      <c r="M134" s="41" t="str">
        <f>IF($K134,INDEX(SuperheatedEnglish!D:D,$J134),"-")</f>
        <v>-</v>
      </c>
      <c r="N134" s="4" t="str">
        <f>IF($K134,INDEX(SuperheatedEnglish!E:E,$J134),"-")</f>
        <v>-</v>
      </c>
      <c r="O134" s="4" t="str">
        <f>IF($K134,INDEX(SuperheatedEnglish!F:F,$J134),"-")</f>
        <v>-</v>
      </c>
      <c r="P134" s="39" t="str">
        <f>IF($K134,INDEX(SuperheatedEnglish!G:G,$J134),"-")</f>
        <v>-</v>
      </c>
    </row>
    <row r="135" spans="1:16" x14ac:dyDescent="0.2">
      <c r="A135" s="45">
        <v>17</v>
      </c>
      <c r="B135" s="36" t="str">
        <f t="shared" si="27"/>
        <v>-</v>
      </c>
      <c r="C135" s="36" t="b">
        <f t="shared" si="25"/>
        <v>0</v>
      </c>
      <c r="D135" s="4" t="str">
        <f>IF($C135,INDEX(SuperheatedEnglish!C:C,$B135),"-")</f>
        <v>-</v>
      </c>
      <c r="E135" s="41" t="str">
        <f>IF($C135,INDEX(SuperheatedEnglish!D:D,$B135),"-")</f>
        <v>-</v>
      </c>
      <c r="F135" s="4" t="str">
        <f>IF($C135,INDEX(SuperheatedEnglish!E:E,$B135),"-")</f>
        <v>-</v>
      </c>
      <c r="G135" s="4" t="str">
        <f>IF($C135,INDEX(SuperheatedEnglish!F:F,$B135),"-")</f>
        <v>-</v>
      </c>
      <c r="H135" s="39" t="str">
        <f>IF($C135,INDEX(SuperheatedEnglish!G:G,$B135),"-")</f>
        <v>-</v>
      </c>
      <c r="I135" s="26"/>
      <c r="J135" s="36" t="str">
        <f t="shared" si="28"/>
        <v>-</v>
      </c>
      <c r="K135" s="36" t="b">
        <f t="shared" si="26"/>
        <v>0</v>
      </c>
      <c r="L135" s="4" t="str">
        <f>IF($K135,INDEX(SuperheatedEnglish!C:C,$J135),"-")</f>
        <v>-</v>
      </c>
      <c r="M135" s="41" t="str">
        <f>IF($K135,INDEX(SuperheatedEnglish!D:D,$J135),"-")</f>
        <v>-</v>
      </c>
      <c r="N135" s="4" t="str">
        <f>IF($K135,INDEX(SuperheatedEnglish!E:E,$J135),"-")</f>
        <v>-</v>
      </c>
      <c r="O135" s="4" t="str">
        <f>IF($K135,INDEX(SuperheatedEnglish!F:F,$J135),"-")</f>
        <v>-</v>
      </c>
      <c r="P135" s="39" t="str">
        <f>IF($K135,INDEX(SuperheatedEnglish!G:G,$J135),"-")</f>
        <v>-</v>
      </c>
    </row>
    <row r="136" spans="1:16" x14ac:dyDescent="0.2">
      <c r="A136" s="45">
        <v>18</v>
      </c>
      <c r="B136" s="36" t="str">
        <f t="shared" si="27"/>
        <v>-</v>
      </c>
      <c r="C136" s="36" t="b">
        <f t="shared" si="25"/>
        <v>0</v>
      </c>
      <c r="D136" s="4" t="str">
        <f>IF($C136,INDEX(SuperheatedEnglish!C:C,$B136),"-")</f>
        <v>-</v>
      </c>
      <c r="E136" s="41" t="str">
        <f>IF($C136,INDEX(SuperheatedEnglish!D:D,$B136),"-")</f>
        <v>-</v>
      </c>
      <c r="F136" s="4" t="str">
        <f>IF($C136,INDEX(SuperheatedEnglish!E:E,$B136),"-")</f>
        <v>-</v>
      </c>
      <c r="G136" s="4" t="str">
        <f>IF($C136,INDEX(SuperheatedEnglish!F:F,$B136),"-")</f>
        <v>-</v>
      </c>
      <c r="H136" s="39" t="str">
        <f>IF($C136,INDEX(SuperheatedEnglish!G:G,$B136),"-")</f>
        <v>-</v>
      </c>
      <c r="I136" s="26"/>
      <c r="J136" s="36" t="str">
        <f t="shared" si="28"/>
        <v>-</v>
      </c>
      <c r="K136" s="36" t="b">
        <f t="shared" si="26"/>
        <v>0</v>
      </c>
      <c r="L136" s="4" t="str">
        <f>IF($K136,INDEX(SuperheatedEnglish!C:C,$J136),"-")</f>
        <v>-</v>
      </c>
      <c r="M136" s="41" t="str">
        <f>IF($K136,INDEX(SuperheatedEnglish!D:D,$J136),"-")</f>
        <v>-</v>
      </c>
      <c r="N136" s="4" t="str">
        <f>IF($K136,INDEX(SuperheatedEnglish!E:E,$J136),"-")</f>
        <v>-</v>
      </c>
      <c r="O136" s="4" t="str">
        <f>IF($K136,INDEX(SuperheatedEnglish!F:F,$J136),"-")</f>
        <v>-</v>
      </c>
      <c r="P136" s="39" t="str">
        <f>IF($K136,INDEX(SuperheatedEnglish!G:G,$J136),"-")</f>
        <v>-</v>
      </c>
    </row>
    <row r="137" spans="1:16" x14ac:dyDescent="0.2">
      <c r="A137" s="45">
        <v>19</v>
      </c>
      <c r="B137" s="36" t="str">
        <f t="shared" si="27"/>
        <v>-</v>
      </c>
      <c r="C137" s="36" t="b">
        <f t="shared" si="25"/>
        <v>0</v>
      </c>
      <c r="D137" s="4" t="str">
        <f>IF($C137,INDEX(SuperheatedEnglish!C:C,$B137),"-")</f>
        <v>-</v>
      </c>
      <c r="E137" s="41" t="str">
        <f>IF($C137,INDEX(SuperheatedEnglish!D:D,$B137),"-")</f>
        <v>-</v>
      </c>
      <c r="F137" s="4" t="str">
        <f>IF($C137,INDEX(SuperheatedEnglish!E:E,$B137),"-")</f>
        <v>-</v>
      </c>
      <c r="G137" s="4" t="str">
        <f>IF($C137,INDEX(SuperheatedEnglish!F:F,$B137),"-")</f>
        <v>-</v>
      </c>
      <c r="H137" s="39" t="str">
        <f>IF($C137,INDEX(SuperheatedEnglish!G:G,$B137),"-")</f>
        <v>-</v>
      </c>
      <c r="I137" s="26"/>
      <c r="J137" s="36" t="str">
        <f t="shared" si="28"/>
        <v>-</v>
      </c>
      <c r="K137" s="36" t="b">
        <f t="shared" si="26"/>
        <v>0</v>
      </c>
      <c r="L137" s="4" t="str">
        <f>IF($K137,INDEX(SuperheatedEnglish!C:C,$J137),"-")</f>
        <v>-</v>
      </c>
      <c r="M137" s="41" t="str">
        <f>IF($K137,INDEX(SuperheatedEnglish!D:D,$J137),"-")</f>
        <v>-</v>
      </c>
      <c r="N137" s="4" t="str">
        <f>IF($K137,INDEX(SuperheatedEnglish!E:E,$J137),"-")</f>
        <v>-</v>
      </c>
      <c r="O137" s="4" t="str">
        <f>IF($K137,INDEX(SuperheatedEnglish!F:F,$J137),"-")</f>
        <v>-</v>
      </c>
      <c r="P137" s="39" t="str">
        <f>IF($K137,INDEX(SuperheatedEnglish!G:G,$J137),"-")</f>
        <v>-</v>
      </c>
    </row>
    <row r="138" spans="1:16" x14ac:dyDescent="0.2">
      <c r="A138" s="45">
        <v>20</v>
      </c>
      <c r="B138" s="36" t="str">
        <f t="shared" si="27"/>
        <v>-</v>
      </c>
      <c r="C138" s="36" t="b">
        <f t="shared" si="25"/>
        <v>0</v>
      </c>
      <c r="D138" s="4" t="str">
        <f>IF($C138,INDEX(SuperheatedEnglish!C:C,$B138),"-")</f>
        <v>-</v>
      </c>
      <c r="E138" s="41" t="str">
        <f>IF($C138,INDEX(SuperheatedEnglish!D:D,$B138),"-")</f>
        <v>-</v>
      </c>
      <c r="F138" s="4" t="str">
        <f>IF($C138,INDEX(SuperheatedEnglish!E:E,$B138),"-")</f>
        <v>-</v>
      </c>
      <c r="G138" s="4" t="str">
        <f>IF($C138,INDEX(SuperheatedEnglish!F:F,$B138),"-")</f>
        <v>-</v>
      </c>
      <c r="H138" s="39" t="str">
        <f>IF($C138,INDEX(SuperheatedEnglish!G:G,$B138),"-")</f>
        <v>-</v>
      </c>
      <c r="I138" s="26"/>
      <c r="J138" s="36" t="str">
        <f t="shared" si="28"/>
        <v>-</v>
      </c>
      <c r="K138" s="36" t="b">
        <f t="shared" si="26"/>
        <v>0</v>
      </c>
      <c r="L138" s="4" t="str">
        <f>IF($K138,INDEX(SuperheatedEnglish!C:C,$J138),"-")</f>
        <v>-</v>
      </c>
      <c r="M138" s="41" t="str">
        <f>IF($K138,INDEX(SuperheatedEnglish!D:D,$J138),"-")</f>
        <v>-</v>
      </c>
      <c r="N138" s="4" t="str">
        <f>IF($K138,INDEX(SuperheatedEnglish!E:E,$J138),"-")</f>
        <v>-</v>
      </c>
      <c r="O138" s="4" t="str">
        <f>IF($K138,INDEX(SuperheatedEnglish!F:F,$J138),"-")</f>
        <v>-</v>
      </c>
      <c r="P138" s="39" t="str">
        <f>IF($K138,INDEX(SuperheatedEnglish!G:G,$J138),"-")</f>
        <v>-</v>
      </c>
    </row>
    <row r="139" spans="1:16" x14ac:dyDescent="0.2">
      <c r="A139" s="82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34"/>
    </row>
    <row r="140" spans="1:16" x14ac:dyDescent="0.2">
      <c r="A140" s="79">
        <f>A107</f>
        <v>1301</v>
      </c>
      <c r="B140" s="26" t="s">
        <v>115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34"/>
    </row>
    <row r="141" spans="1:16" x14ac:dyDescent="0.2">
      <c r="A141" s="82"/>
      <c r="B141" s="26"/>
      <c r="C141" s="84" t="s">
        <v>97</v>
      </c>
      <c r="D141" s="26"/>
      <c r="E141" s="26"/>
      <c r="F141" s="26"/>
      <c r="G141" s="36">
        <f t="shared" ref="G141" si="29">MATCH($A140,G119:G138)</f>
        <v>5</v>
      </c>
      <c r="H141" s="26"/>
      <c r="I141" s="26"/>
      <c r="J141" s="26"/>
      <c r="K141" s="84" t="s">
        <v>97</v>
      </c>
      <c r="L141" s="26"/>
      <c r="M141" s="26"/>
      <c r="N141" s="26"/>
      <c r="O141" s="36">
        <f t="shared" ref="O141" si="30">MATCH($A140,O119:O138)</f>
        <v>4</v>
      </c>
      <c r="P141" s="34"/>
    </row>
    <row r="142" spans="1:16" x14ac:dyDescent="0.2">
      <c r="A142" s="82"/>
      <c r="B142" s="26"/>
      <c r="C142" s="84" t="s">
        <v>98</v>
      </c>
      <c r="D142" s="39">
        <f t="shared" ref="D142:G142" si="31">INDEX(D119:D138,$G$141)</f>
        <v>550</v>
      </c>
      <c r="E142" s="39">
        <f t="shared" si="31"/>
        <v>2.8929999999999998</v>
      </c>
      <c r="F142" s="39">
        <f t="shared" si="31"/>
        <v>1188.7</v>
      </c>
      <c r="G142" s="39">
        <f t="shared" si="31"/>
        <v>1295.7</v>
      </c>
      <c r="H142" s="39">
        <f>INDEX(H119:H138,$G$141)</f>
        <v>1.6512</v>
      </c>
      <c r="I142" s="26"/>
      <c r="J142" s="26"/>
      <c r="K142" s="84" t="s">
        <v>98</v>
      </c>
      <c r="L142" s="39">
        <f t="shared" ref="L142:O142" si="32">INDEX(L119:L138,$O$141)</f>
        <v>550</v>
      </c>
      <c r="M142" s="39">
        <f t="shared" si="32"/>
        <v>2.29</v>
      </c>
      <c r="N142" s="87">
        <f t="shared" si="32"/>
        <v>1185.3</v>
      </c>
      <c r="O142" s="39">
        <f t="shared" si="32"/>
        <v>1291.3</v>
      </c>
      <c r="P142" s="88">
        <f>INDEX(P119:P138,$O$141)</f>
        <v>1.6233</v>
      </c>
    </row>
    <row r="143" spans="1:16" x14ac:dyDescent="0.2">
      <c r="A143" s="82"/>
      <c r="B143" s="26"/>
      <c r="C143" s="84" t="s">
        <v>109</v>
      </c>
      <c r="D143" s="26"/>
      <c r="E143" s="26"/>
      <c r="F143" s="26"/>
      <c r="G143" s="89">
        <f>$A140</f>
        <v>1301</v>
      </c>
      <c r="H143" s="90"/>
      <c r="I143" s="26"/>
      <c r="J143" s="26"/>
      <c r="K143" s="84" t="s">
        <v>99</v>
      </c>
      <c r="L143" s="26"/>
      <c r="M143" s="26"/>
      <c r="N143" s="26"/>
      <c r="O143" s="39">
        <f>$A140</f>
        <v>1301</v>
      </c>
      <c r="P143" s="29"/>
    </row>
    <row r="144" spans="1:16" x14ac:dyDescent="0.2">
      <c r="A144" s="82"/>
      <c r="B144" s="26"/>
      <c r="C144" s="84" t="s">
        <v>100</v>
      </c>
      <c r="D144" s="39">
        <f t="shared" ref="D144:G144" si="33">INDEX(D119:D138,$G$141+1)</f>
        <v>600</v>
      </c>
      <c r="E144" s="39">
        <f t="shared" si="33"/>
        <v>3.0579999999999998</v>
      </c>
      <c r="F144" s="39">
        <f t="shared" si="33"/>
        <v>1208.9000000000001</v>
      </c>
      <c r="G144" s="39">
        <f t="shared" si="33"/>
        <v>1322.1</v>
      </c>
      <c r="H144" s="39">
        <f>INDEX(H119:H138,$G$141+1)</f>
        <v>1.6767000000000001</v>
      </c>
      <c r="I144" s="26"/>
      <c r="J144" s="26"/>
      <c r="K144" s="84" t="s">
        <v>100</v>
      </c>
      <c r="L144" s="39">
        <f t="shared" ref="L144:O144" si="34">INDEX(L119:L138,$O$141+1)</f>
        <v>600</v>
      </c>
      <c r="M144" s="39">
        <f t="shared" si="34"/>
        <v>2.4260000000000002</v>
      </c>
      <c r="N144" s="87">
        <f t="shared" si="34"/>
        <v>1206.0999999999999</v>
      </c>
      <c r="O144" s="39">
        <f t="shared" si="34"/>
        <v>1318.3</v>
      </c>
      <c r="P144" s="88">
        <f>INDEX(P119:P138,$O$141+1)</f>
        <v>1.6494</v>
      </c>
    </row>
    <row r="145" spans="1:16" x14ac:dyDescent="0.2">
      <c r="A145" s="82"/>
      <c r="B145" s="26"/>
      <c r="C145" s="84" t="s">
        <v>101</v>
      </c>
      <c r="D145" s="26"/>
      <c r="E145" s="26"/>
      <c r="F145" s="26"/>
      <c r="G145" s="91">
        <f>(G143-G142)/(G144-G142)</f>
        <v>0.20075757575757508</v>
      </c>
      <c r="H145" s="27"/>
      <c r="I145" s="26"/>
      <c r="J145" s="26"/>
      <c r="K145" s="84" t="s">
        <v>101</v>
      </c>
      <c r="L145" s="26"/>
      <c r="M145" s="26"/>
      <c r="N145" s="26"/>
      <c r="O145" s="37">
        <f>(O143-O142)/(O144-O142)</f>
        <v>0.35925925925926094</v>
      </c>
      <c r="P145" s="92"/>
    </row>
    <row r="146" spans="1:16" x14ac:dyDescent="0.2">
      <c r="A146" s="82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34"/>
    </row>
    <row r="147" spans="1:16" x14ac:dyDescent="0.2">
      <c r="A147" s="82"/>
      <c r="B147" s="26"/>
      <c r="C147" s="26"/>
      <c r="D147" s="46" t="s">
        <v>116</v>
      </c>
      <c r="E147" s="50"/>
      <c r="F147" s="50"/>
      <c r="G147" s="50"/>
      <c r="H147" s="51"/>
      <c r="I147" s="26"/>
      <c r="J147" s="26"/>
      <c r="K147" s="26"/>
      <c r="L147" s="46" t="s">
        <v>117</v>
      </c>
      <c r="M147" s="50"/>
      <c r="N147" s="50"/>
      <c r="O147" s="50"/>
      <c r="P147" s="51"/>
    </row>
    <row r="148" spans="1:16" x14ac:dyDescent="0.2">
      <c r="A148" s="82"/>
      <c r="B148" s="26"/>
      <c r="C148" s="26"/>
      <c r="D148" s="45" t="s">
        <v>84</v>
      </c>
      <c r="E148" s="75" t="s">
        <v>37</v>
      </c>
      <c r="F148" s="76" t="s">
        <v>38</v>
      </c>
      <c r="G148" s="76" t="s">
        <v>39</v>
      </c>
      <c r="H148" s="77" t="s">
        <v>40</v>
      </c>
      <c r="I148" s="26"/>
      <c r="J148" s="26"/>
      <c r="K148" s="26"/>
      <c r="L148" s="45" t="s">
        <v>84</v>
      </c>
      <c r="M148" s="75" t="s">
        <v>37</v>
      </c>
      <c r="N148" s="76" t="s">
        <v>38</v>
      </c>
      <c r="O148" s="76" t="s">
        <v>39</v>
      </c>
      <c r="P148" s="77" t="s">
        <v>40</v>
      </c>
    </row>
    <row r="149" spans="1:16" x14ac:dyDescent="0.2">
      <c r="A149" s="82"/>
      <c r="B149" s="26"/>
      <c r="C149" s="26"/>
      <c r="D149" s="4">
        <f>D142+$G$145*(D144-D142)</f>
        <v>560.03787878787875</v>
      </c>
      <c r="E149" s="41">
        <f t="shared" ref="E149:H149" si="35">E142+$G$145*(E144-E142)</f>
        <v>2.9261249999999999</v>
      </c>
      <c r="F149" s="4">
        <f t="shared" si="35"/>
        <v>1192.7553030303031</v>
      </c>
      <c r="G149" s="4">
        <f t="shared" si="35"/>
        <v>1301</v>
      </c>
      <c r="H149" s="39">
        <f t="shared" si="35"/>
        <v>1.6563193181818181</v>
      </c>
      <c r="I149" s="26"/>
      <c r="J149" s="26"/>
      <c r="K149" s="26"/>
      <c r="L149" s="4">
        <f>L142+$O$145*(L144-L142)</f>
        <v>567.96296296296305</v>
      </c>
      <c r="M149" s="41">
        <f t="shared" ref="M149:P149" si="36">M142+$O$145*(M144-M142)</f>
        <v>2.3388592592592596</v>
      </c>
      <c r="N149" s="4">
        <f t="shared" si="36"/>
        <v>1192.7725925925927</v>
      </c>
      <c r="O149" s="4">
        <f t="shared" si="36"/>
        <v>1301</v>
      </c>
      <c r="P149" s="39">
        <f t="shared" si="36"/>
        <v>1.6326766666666668</v>
      </c>
    </row>
    <row r="150" spans="1:16" x14ac:dyDescent="0.2">
      <c r="A150" s="82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34"/>
    </row>
    <row r="151" spans="1:16" x14ac:dyDescent="0.2">
      <c r="A151" s="83">
        <f>A110</f>
        <v>200</v>
      </c>
      <c r="B151" s="26" t="s">
        <v>92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34"/>
    </row>
    <row r="152" spans="1:16" x14ac:dyDescent="0.2">
      <c r="A152" s="83">
        <f>A106</f>
        <v>201</v>
      </c>
      <c r="B152" s="26" t="s">
        <v>104</v>
      </c>
      <c r="C152" s="26"/>
      <c r="D152" s="46" t="s">
        <v>118</v>
      </c>
      <c r="E152" s="50"/>
      <c r="F152" s="50"/>
      <c r="G152" s="50"/>
      <c r="H152" s="51"/>
      <c r="I152" s="26"/>
      <c r="J152" s="26"/>
      <c r="K152" s="26"/>
      <c r="L152" s="26"/>
      <c r="M152" s="26"/>
      <c r="N152" s="26"/>
      <c r="O152" s="26"/>
      <c r="P152" s="34"/>
    </row>
    <row r="153" spans="1:16" x14ac:dyDescent="0.2">
      <c r="A153" s="83">
        <f>A113</f>
        <v>250</v>
      </c>
      <c r="B153" s="26" t="s">
        <v>106</v>
      </c>
      <c r="C153" s="26"/>
      <c r="D153" s="45" t="s">
        <v>84</v>
      </c>
      <c r="E153" s="75" t="s">
        <v>37</v>
      </c>
      <c r="F153" s="76" t="s">
        <v>38</v>
      </c>
      <c r="G153" s="76" t="s">
        <v>39</v>
      </c>
      <c r="H153" s="77" t="s">
        <v>40</v>
      </c>
      <c r="I153" s="26"/>
      <c r="J153" s="26"/>
      <c r="K153" s="26"/>
      <c r="L153" s="26"/>
      <c r="M153" s="26"/>
      <c r="N153" s="26"/>
      <c r="O153" s="26"/>
      <c r="P153" s="34"/>
    </row>
    <row r="154" spans="1:16" x14ac:dyDescent="0.2">
      <c r="A154" s="37">
        <f>(A152-A151)/(A153-A151)</f>
        <v>0.02</v>
      </c>
      <c r="B154" s="30" t="s">
        <v>101</v>
      </c>
      <c r="C154" s="30"/>
      <c r="D154" s="4">
        <f>D149+$A$154*(L149-D149)</f>
        <v>560.19638047138039</v>
      </c>
      <c r="E154" s="41">
        <f t="shared" ref="E154:G154" si="37">E149+$A$154*(M149-E149)</f>
        <v>2.9143796851851849</v>
      </c>
      <c r="F154" s="4">
        <f t="shared" si="37"/>
        <v>1192.7556488215489</v>
      </c>
      <c r="G154" s="4">
        <f t="shared" si="37"/>
        <v>1301</v>
      </c>
      <c r="H154" s="39">
        <f>H149+$A$154*(P149-H149)</f>
        <v>1.655846465151515</v>
      </c>
      <c r="I154" s="30"/>
      <c r="J154" s="30"/>
      <c r="K154" s="30"/>
      <c r="L154" s="30"/>
      <c r="M154" s="30"/>
      <c r="N154" s="30"/>
      <c r="O154" s="30"/>
      <c r="P154" s="35"/>
    </row>
  </sheetData>
  <conditionalFormatting sqref="A13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A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115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21"/>
  <sheetViews>
    <sheetView zoomScaleNormal="100" workbookViewId="0"/>
  </sheetViews>
  <sheetFormatPr defaultRowHeight="11.25" x14ac:dyDescent="0.2"/>
  <cols>
    <col min="2" max="2" width="22.83203125" bestFit="1" customWidth="1"/>
    <col min="10" max="10" width="12.6640625" customWidth="1"/>
    <col min="11" max="11" width="12.5" customWidth="1"/>
    <col min="12" max="12" width="10.83203125" customWidth="1"/>
    <col min="28" max="28" width="7.83203125" bestFit="1" customWidth="1"/>
    <col min="29" max="29" width="11.5" bestFit="1" customWidth="1"/>
  </cols>
  <sheetData>
    <row r="1" spans="1:42" ht="15.75" x14ac:dyDescent="0.25">
      <c r="A1" s="10"/>
      <c r="B1" s="10" t="s">
        <v>203</v>
      </c>
      <c r="F1" s="10" t="s">
        <v>213</v>
      </c>
      <c r="M1" s="10" t="s">
        <v>212</v>
      </c>
      <c r="AA1" s="10" t="s">
        <v>211</v>
      </c>
      <c r="AP1" s="10" t="s">
        <v>214</v>
      </c>
    </row>
    <row r="38" spans="1:48" x14ac:dyDescent="0.2">
      <c r="A38" s="46" t="s">
        <v>122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8"/>
    </row>
    <row r="39" spans="1:48" x14ac:dyDescent="0.2">
      <c r="A39" s="96" t="s">
        <v>47</v>
      </c>
      <c r="B39" s="97"/>
      <c r="C39" s="97"/>
      <c r="D39" s="97"/>
      <c r="E39" s="97"/>
      <c r="F39" s="97"/>
      <c r="G39" s="97"/>
      <c r="H39" s="98"/>
      <c r="J39" s="96" t="s">
        <v>120</v>
      </c>
      <c r="K39" s="97"/>
      <c r="L39" s="97"/>
      <c r="M39" s="98"/>
    </row>
    <row r="40" spans="1:48" x14ac:dyDescent="0.2">
      <c r="G40" s="43" t="s">
        <v>46</v>
      </c>
    </row>
    <row r="41" spans="1:48" x14ac:dyDescent="0.2">
      <c r="F41" s="93" t="s">
        <v>119</v>
      </c>
      <c r="G41" s="44">
        <v>1.2</v>
      </c>
    </row>
    <row r="42" spans="1:48" x14ac:dyDescent="0.2">
      <c r="A42" s="42" t="s">
        <v>41</v>
      </c>
      <c r="Z42" s="46" t="s">
        <v>210</v>
      </c>
      <c r="AA42" s="47"/>
      <c r="AB42" s="47"/>
      <c r="AC42" s="47"/>
      <c r="AD42" s="47"/>
      <c r="AE42" s="47"/>
      <c r="AF42" s="47"/>
      <c r="AG42" s="48"/>
    </row>
    <row r="43" spans="1:48" ht="33.75" x14ac:dyDescent="0.2">
      <c r="A43" s="36" t="s">
        <v>42</v>
      </c>
      <c r="B43" s="9" t="s">
        <v>15</v>
      </c>
      <c r="C43" s="15" t="s">
        <v>16</v>
      </c>
      <c r="D43" s="7" t="s">
        <v>17</v>
      </c>
      <c r="E43" s="7" t="s">
        <v>43</v>
      </c>
      <c r="G43" s="45" t="s">
        <v>44</v>
      </c>
      <c r="H43" s="45" t="s">
        <v>45</v>
      </c>
      <c r="J43" s="15" t="s">
        <v>23</v>
      </c>
      <c r="K43" s="15" t="s">
        <v>24</v>
      </c>
      <c r="L43" s="1" t="s">
        <v>14</v>
      </c>
      <c r="M43" s="45" t="s">
        <v>42</v>
      </c>
      <c r="Z43" s="73" t="s">
        <v>35</v>
      </c>
      <c r="AA43" s="18" t="s">
        <v>35</v>
      </c>
      <c r="AB43" s="18" t="s">
        <v>36</v>
      </c>
      <c r="AC43" s="155" t="s">
        <v>40</v>
      </c>
      <c r="AE43" s="156" t="s">
        <v>15</v>
      </c>
      <c r="AF43" s="157" t="s">
        <v>14</v>
      </c>
      <c r="AG43" s="158" t="s">
        <v>23</v>
      </c>
    </row>
    <row r="44" spans="1:48" x14ac:dyDescent="0.2">
      <c r="A44" s="36">
        <v>1</v>
      </c>
      <c r="B44" s="38">
        <v>0.4</v>
      </c>
      <c r="C44" s="41">
        <v>1.6060000000000001E-2</v>
      </c>
      <c r="D44" s="39">
        <v>792</v>
      </c>
      <c r="E44" s="41">
        <v>1.6060000000000001E-2</v>
      </c>
      <c r="H44" s="41">
        <f>IF(E44&gt;$G$41,NA(),E44)</f>
        <v>1.6060000000000001E-2</v>
      </c>
      <c r="J44" s="41">
        <v>-3.0000000000000001E-5</v>
      </c>
      <c r="K44" s="41">
        <v>2.1869999999999998</v>
      </c>
      <c r="L44" s="36">
        <v>32</v>
      </c>
      <c r="M44" s="49">
        <v>1</v>
      </c>
      <c r="Z44" s="110"/>
      <c r="AA44" s="154" t="str">
        <f>CONCATENATE(Z45," sat liq")</f>
        <v>1 psia sat liq</v>
      </c>
      <c r="AB44" s="36">
        <f>AB45</f>
        <v>101.7</v>
      </c>
      <c r="AC44" s="39">
        <f>INDEX($AG$44:$AG$114,MATCH(AA45,$AE$44:$AE$114,0))</f>
        <v>0.13270000000000001</v>
      </c>
      <c r="AE44" s="38">
        <v>0.4</v>
      </c>
      <c r="AF44" s="4">
        <v>72.84</v>
      </c>
      <c r="AG44" s="39">
        <v>0.08</v>
      </c>
      <c r="AO44" s="111" t="s">
        <v>215</v>
      </c>
      <c r="AP44" s="40">
        <v>3000</v>
      </c>
      <c r="AS44" s="40">
        <v>3000</v>
      </c>
      <c r="AV44" s="40">
        <v>3000</v>
      </c>
    </row>
    <row r="45" spans="1:48" x14ac:dyDescent="0.2">
      <c r="A45" s="36">
        <v>2</v>
      </c>
      <c r="B45" s="38">
        <v>0.6</v>
      </c>
      <c r="C45" s="41">
        <v>1.609E-2</v>
      </c>
      <c r="D45" s="39">
        <v>540</v>
      </c>
      <c r="E45" s="41">
        <v>1.609E-2</v>
      </c>
      <c r="H45" s="41">
        <f t="shared" ref="H45:H108" si="0">IF(E45&gt;$G$41,NA(),E45)</f>
        <v>1.609E-2</v>
      </c>
      <c r="J45" s="41">
        <v>6.0699999999999999E-3</v>
      </c>
      <c r="K45" s="41">
        <v>2.1764000000000001</v>
      </c>
      <c r="L45" s="36">
        <v>35</v>
      </c>
      <c r="M45" s="49">
        <v>2</v>
      </c>
      <c r="Z45" s="63" t="s">
        <v>204</v>
      </c>
      <c r="AA45" s="19">
        <v>1</v>
      </c>
      <c r="AB45" s="22">
        <v>101.7</v>
      </c>
      <c r="AC45" s="25">
        <v>1.9779</v>
      </c>
      <c r="AE45" s="38">
        <v>0.6</v>
      </c>
      <c r="AF45" s="4">
        <v>85.19</v>
      </c>
      <c r="AG45" s="39">
        <v>0.10290000000000001</v>
      </c>
      <c r="AO45" s="111" t="s">
        <v>216</v>
      </c>
      <c r="AP45" s="40">
        <v>0.15</v>
      </c>
      <c r="AS45" s="40">
        <v>0.25</v>
      </c>
      <c r="AV45" s="40">
        <v>0.4</v>
      </c>
    </row>
    <row r="46" spans="1:48" x14ac:dyDescent="0.2">
      <c r="A46" s="36">
        <v>3</v>
      </c>
      <c r="B46" s="38">
        <v>0.8</v>
      </c>
      <c r="C46" s="41">
        <v>1.6109999999999999E-2</v>
      </c>
      <c r="D46" s="39">
        <v>411.7</v>
      </c>
      <c r="E46" s="41">
        <v>1.6109999999999999E-2</v>
      </c>
      <c r="H46" s="41">
        <f t="shared" si="0"/>
        <v>1.6109999999999999E-2</v>
      </c>
      <c r="J46" s="41">
        <v>1.617E-2</v>
      </c>
      <c r="K46" s="41">
        <v>2.1591999999999998</v>
      </c>
      <c r="L46" s="36">
        <v>40</v>
      </c>
      <c r="M46" s="49">
        <v>3</v>
      </c>
      <c r="Z46" s="64" t="s">
        <v>80</v>
      </c>
      <c r="AA46" s="20">
        <v>1</v>
      </c>
      <c r="AB46" s="26">
        <v>150</v>
      </c>
      <c r="AC46" s="29">
        <v>2.0150999999999999</v>
      </c>
      <c r="AE46" s="38">
        <v>0.8</v>
      </c>
      <c r="AF46" s="4">
        <v>94.35</v>
      </c>
      <c r="AG46" s="39">
        <v>0.1195</v>
      </c>
      <c r="AO46" s="111" t="s">
        <v>217</v>
      </c>
      <c r="AP46" s="36">
        <f>AP44*AP45</f>
        <v>450</v>
      </c>
      <c r="AS46" s="36">
        <f>AS44*AS45</f>
        <v>750</v>
      </c>
      <c r="AV46" s="36">
        <f>AV44*AV45</f>
        <v>1200</v>
      </c>
    </row>
    <row r="47" spans="1:48" x14ac:dyDescent="0.2">
      <c r="A47" s="36">
        <v>4</v>
      </c>
      <c r="B47" s="38">
        <v>1</v>
      </c>
      <c r="C47" s="41">
        <v>1.6140000000000002E-2</v>
      </c>
      <c r="D47" s="39">
        <v>333.6</v>
      </c>
      <c r="E47" s="41">
        <v>1.6140000000000002E-2</v>
      </c>
      <c r="H47" s="41">
        <f t="shared" si="0"/>
        <v>1.6140000000000002E-2</v>
      </c>
      <c r="J47" s="41">
        <v>2.6179999999999998E-2</v>
      </c>
      <c r="K47" s="41">
        <v>2.1423000000000001</v>
      </c>
      <c r="L47" s="36">
        <v>45</v>
      </c>
      <c r="M47" s="49">
        <v>4</v>
      </c>
      <c r="Z47" s="64" t="s">
        <v>80</v>
      </c>
      <c r="AA47" s="20">
        <v>1</v>
      </c>
      <c r="AB47" s="26">
        <v>200</v>
      </c>
      <c r="AC47" s="29">
        <v>2.0508000000000002</v>
      </c>
      <c r="AE47" s="38">
        <v>1</v>
      </c>
      <c r="AF47" s="4">
        <v>101.7</v>
      </c>
      <c r="AG47" s="39">
        <v>0.13270000000000001</v>
      </c>
      <c r="AO47" s="120" t="s">
        <v>220</v>
      </c>
      <c r="AP47" s="45" t="str">
        <f>CONCATENATE("P*v=",AP46)</f>
        <v>P*v=450</v>
      </c>
      <c r="AS47" s="45" t="str">
        <f>CONCATENATE("P*v=",AS46)</f>
        <v>P*v=750</v>
      </c>
      <c r="AV47" s="45" t="str">
        <f>CONCATENATE("P*v=",AV46)</f>
        <v>P*v=1200</v>
      </c>
    </row>
    <row r="48" spans="1:48" x14ac:dyDescent="0.2">
      <c r="A48" s="36">
        <v>5</v>
      </c>
      <c r="B48" s="38">
        <v>1.2</v>
      </c>
      <c r="C48" s="41">
        <v>1.6160000000000001E-2</v>
      </c>
      <c r="D48" s="39">
        <v>280.89999999999998</v>
      </c>
      <c r="E48" s="41">
        <v>1.6160000000000001E-2</v>
      </c>
      <c r="H48" s="41">
        <f t="shared" si="0"/>
        <v>1.6160000000000001E-2</v>
      </c>
      <c r="J48" s="41">
        <v>3.6069999999999998E-2</v>
      </c>
      <c r="K48" s="41">
        <v>2.1259000000000001</v>
      </c>
      <c r="L48" s="36">
        <v>50</v>
      </c>
      <c r="M48" s="49">
        <v>5</v>
      </c>
      <c r="Z48" s="64" t="s">
        <v>80</v>
      </c>
      <c r="AA48" s="20">
        <v>1</v>
      </c>
      <c r="AB48" s="26">
        <v>250</v>
      </c>
      <c r="AC48" s="29">
        <v>2.0838999999999999</v>
      </c>
      <c r="AE48" s="38">
        <v>1.2</v>
      </c>
      <c r="AF48" s="4">
        <v>107.88</v>
      </c>
      <c r="AG48" s="39">
        <v>0.14360000000000001</v>
      </c>
      <c r="AO48" s="111" t="s">
        <v>218</v>
      </c>
      <c r="AP48" s="40">
        <v>1.2</v>
      </c>
      <c r="AS48" s="40">
        <v>1.2</v>
      </c>
      <c r="AV48" s="40">
        <v>1.2</v>
      </c>
    </row>
    <row r="49" spans="1:49" x14ac:dyDescent="0.2">
      <c r="A49" s="36">
        <v>6</v>
      </c>
      <c r="B49" s="38">
        <v>1.5</v>
      </c>
      <c r="C49" s="41">
        <v>1.619E-2</v>
      </c>
      <c r="D49" s="39">
        <v>227.7</v>
      </c>
      <c r="E49" s="41">
        <v>1.619E-2</v>
      </c>
      <c r="H49" s="41">
        <f t="shared" si="0"/>
        <v>1.619E-2</v>
      </c>
      <c r="J49" s="41">
        <v>0.04</v>
      </c>
      <c r="K49" s="41">
        <v>2.1194999999999999</v>
      </c>
      <c r="L49" s="36">
        <v>52</v>
      </c>
      <c r="M49" s="49">
        <v>6</v>
      </c>
      <c r="Z49" s="64" t="s">
        <v>80</v>
      </c>
      <c r="AA49" s="20">
        <v>1</v>
      </c>
      <c r="AB49" s="26">
        <v>300</v>
      </c>
      <c r="AC49" s="29">
        <v>2.1150000000000002</v>
      </c>
      <c r="AE49" s="38">
        <v>1.5</v>
      </c>
      <c r="AF49" s="4">
        <v>115.65</v>
      </c>
      <c r="AG49" s="39">
        <v>0.15709999999999999</v>
      </c>
      <c r="AO49" s="111" t="s">
        <v>219</v>
      </c>
      <c r="AP49" s="36">
        <f>(AP48-AP45)/50</f>
        <v>2.1000000000000001E-2</v>
      </c>
      <c r="AS49" s="36">
        <f>(AS48-AS45)/50</f>
        <v>1.9E-2</v>
      </c>
      <c r="AV49" s="36">
        <f>(AV48-AV45)/50</f>
        <v>1.6E-2</v>
      </c>
    </row>
    <row r="50" spans="1:49" x14ac:dyDescent="0.2">
      <c r="A50" s="36">
        <v>7</v>
      </c>
      <c r="B50" s="38">
        <v>2</v>
      </c>
      <c r="C50" s="41">
        <v>1.6230000000000001E-2</v>
      </c>
      <c r="D50" s="39">
        <v>173.75</v>
      </c>
      <c r="E50" s="41">
        <v>1.6230000000000001E-2</v>
      </c>
      <c r="H50" s="41">
        <f t="shared" si="0"/>
        <v>1.6230000000000001E-2</v>
      </c>
      <c r="J50" s="41">
        <v>4.3909999999999998E-2</v>
      </c>
      <c r="K50" s="41">
        <v>2.1131000000000002</v>
      </c>
      <c r="L50" s="36">
        <v>54</v>
      </c>
      <c r="M50" s="49">
        <v>7</v>
      </c>
      <c r="Z50" s="64" t="s">
        <v>80</v>
      </c>
      <c r="AA50" s="20">
        <v>1</v>
      </c>
      <c r="AB50" s="26">
        <v>400</v>
      </c>
      <c r="AC50" s="29">
        <v>2.1720000000000002</v>
      </c>
      <c r="AE50" s="38">
        <v>2</v>
      </c>
      <c r="AF50" s="4">
        <v>126.04</v>
      </c>
      <c r="AG50" s="39">
        <v>0.17499999999999999</v>
      </c>
      <c r="AO50" s="45" t="s">
        <v>42</v>
      </c>
      <c r="AP50" s="45" t="s">
        <v>44</v>
      </c>
      <c r="AQ50" s="45" t="s">
        <v>45</v>
      </c>
      <c r="AS50" s="45" t="s">
        <v>44</v>
      </c>
      <c r="AT50" s="45" t="s">
        <v>45</v>
      </c>
      <c r="AV50" s="45" t="s">
        <v>44</v>
      </c>
      <c r="AW50" s="45" t="s">
        <v>45</v>
      </c>
    </row>
    <row r="51" spans="1:49" x14ac:dyDescent="0.2">
      <c r="A51" s="36">
        <v>8</v>
      </c>
      <c r="B51" s="38">
        <v>3</v>
      </c>
      <c r="C51" s="41">
        <v>1.6299999999999999E-2</v>
      </c>
      <c r="D51" s="39">
        <v>118.72</v>
      </c>
      <c r="E51" s="41">
        <v>1.6299999999999999E-2</v>
      </c>
      <c r="H51" s="41">
        <f t="shared" si="0"/>
        <v>1.6299999999999999E-2</v>
      </c>
      <c r="J51" s="41">
        <v>4.7809999999999998E-2</v>
      </c>
      <c r="K51" s="41">
        <v>2.1067999999999998</v>
      </c>
      <c r="L51" s="36">
        <v>56</v>
      </c>
      <c r="M51" s="49">
        <v>8</v>
      </c>
      <c r="Z51" s="64" t="s">
        <v>80</v>
      </c>
      <c r="AA51" s="20">
        <v>1</v>
      </c>
      <c r="AB51" s="26">
        <v>500</v>
      </c>
      <c r="AC51" s="29">
        <v>2.2235</v>
      </c>
      <c r="AE51" s="38">
        <v>3</v>
      </c>
      <c r="AF51" s="4">
        <v>141.43</v>
      </c>
      <c r="AG51" s="39">
        <v>0.2009</v>
      </c>
      <c r="AO51" s="45">
        <v>1</v>
      </c>
      <c r="AP51" s="38">
        <f t="shared" ref="AP51:AP82" si="1">AP$46/AQ51</f>
        <v>3000</v>
      </c>
      <c r="AQ51" s="37">
        <f>AP45</f>
        <v>0.15</v>
      </c>
      <c r="AS51" s="38">
        <f t="shared" ref="AS51:AS82" si="2">AS$46/AT51</f>
        <v>3000</v>
      </c>
      <c r="AT51" s="37">
        <f>AS45</f>
        <v>0.25</v>
      </c>
      <c r="AV51" s="38">
        <f t="shared" ref="AV51:AV82" si="3">AV$46/AW51</f>
        <v>3000</v>
      </c>
      <c r="AW51" s="37">
        <f>AV45</f>
        <v>0.4</v>
      </c>
    </row>
    <row r="52" spans="1:49" x14ac:dyDescent="0.2">
      <c r="A52" s="36">
        <v>9</v>
      </c>
      <c r="B52" s="38">
        <v>4</v>
      </c>
      <c r="C52" s="41">
        <v>1.636E-2</v>
      </c>
      <c r="D52" s="39">
        <v>90.64</v>
      </c>
      <c r="E52" s="41">
        <v>1.636E-2</v>
      </c>
      <c r="H52" s="41">
        <f t="shared" si="0"/>
        <v>1.636E-2</v>
      </c>
      <c r="J52" s="41">
        <v>5.1589999999999997E-2</v>
      </c>
      <c r="K52" s="41">
        <v>2.1004999999999998</v>
      </c>
      <c r="L52" s="36">
        <v>58</v>
      </c>
      <c r="M52" s="49">
        <v>9</v>
      </c>
      <c r="Z52" s="64" t="s">
        <v>80</v>
      </c>
      <c r="AA52" s="20">
        <v>1</v>
      </c>
      <c r="AB52" s="26">
        <v>600</v>
      </c>
      <c r="AC52" s="29">
        <v>2.2706</v>
      </c>
      <c r="AE52" s="38">
        <v>4</v>
      </c>
      <c r="AF52" s="4">
        <v>152.93</v>
      </c>
      <c r="AG52" s="39">
        <v>0.2198</v>
      </c>
      <c r="AO52" s="45">
        <v>2</v>
      </c>
      <c r="AP52" s="38">
        <f t="shared" si="1"/>
        <v>2631.5789473684213</v>
      </c>
      <c r="AQ52" s="37">
        <f t="shared" ref="AQ52:AQ83" si="4">AQ51+AP$49</f>
        <v>0.17099999999999999</v>
      </c>
      <c r="AS52" s="38">
        <f t="shared" si="2"/>
        <v>2788.1040892193305</v>
      </c>
      <c r="AT52" s="37">
        <f t="shared" ref="AT52:AT83" si="5">AT51+AS$49</f>
        <v>0.26900000000000002</v>
      </c>
      <c r="AV52" s="38">
        <f t="shared" si="3"/>
        <v>2884.6153846153843</v>
      </c>
      <c r="AW52" s="37">
        <f t="shared" ref="AW52:AW83" si="6">AW51+AV$49</f>
        <v>0.41600000000000004</v>
      </c>
    </row>
    <row r="53" spans="1:49" x14ac:dyDescent="0.2">
      <c r="A53" s="36">
        <v>10</v>
      </c>
      <c r="B53" s="38">
        <v>5</v>
      </c>
      <c r="C53" s="41">
        <v>1.6410000000000001E-2</v>
      </c>
      <c r="D53" s="39">
        <v>73.53</v>
      </c>
      <c r="E53" s="41">
        <v>1.6410000000000001E-2</v>
      </c>
      <c r="H53" s="41">
        <f t="shared" si="0"/>
        <v>1.6410000000000001E-2</v>
      </c>
      <c r="J53" s="41">
        <v>5.5550000000000002E-2</v>
      </c>
      <c r="K53" s="41">
        <v>2.0943000000000001</v>
      </c>
      <c r="L53" s="36">
        <v>60</v>
      </c>
      <c r="M53" s="49">
        <v>10</v>
      </c>
      <c r="Z53" s="64" t="s">
        <v>80</v>
      </c>
      <c r="AA53" s="20">
        <v>1</v>
      </c>
      <c r="AB53" s="26">
        <v>700</v>
      </c>
      <c r="AC53" s="29">
        <v>2.3142</v>
      </c>
      <c r="AE53" s="38">
        <v>5</v>
      </c>
      <c r="AF53" s="4">
        <v>162.21</v>
      </c>
      <c r="AG53" s="39">
        <v>0.2349</v>
      </c>
      <c r="AO53" s="45">
        <v>3</v>
      </c>
      <c r="AP53" s="38">
        <f t="shared" si="1"/>
        <v>2343.7500000000005</v>
      </c>
      <c r="AQ53" s="37">
        <f t="shared" si="4"/>
        <v>0.19199999999999998</v>
      </c>
      <c r="AS53" s="38">
        <f t="shared" si="2"/>
        <v>2604.1666666666665</v>
      </c>
      <c r="AT53" s="37">
        <f t="shared" si="5"/>
        <v>0.28800000000000003</v>
      </c>
      <c r="AV53" s="38">
        <f t="shared" si="3"/>
        <v>2777.7777777777774</v>
      </c>
      <c r="AW53" s="37">
        <f t="shared" si="6"/>
        <v>0.43200000000000005</v>
      </c>
    </row>
    <row r="54" spans="1:49" x14ac:dyDescent="0.2">
      <c r="A54" s="36">
        <v>11</v>
      </c>
      <c r="B54" s="38">
        <v>6</v>
      </c>
      <c r="C54" s="41">
        <v>1.6449999999999999E-2</v>
      </c>
      <c r="D54" s="39">
        <v>61.98</v>
      </c>
      <c r="E54" s="41">
        <v>1.6449999999999999E-2</v>
      </c>
      <c r="H54" s="41">
        <f t="shared" si="0"/>
        <v>1.6449999999999999E-2</v>
      </c>
      <c r="J54" s="41">
        <v>5.9400000000000001E-2</v>
      </c>
      <c r="K54" s="41">
        <v>2.0882000000000001</v>
      </c>
      <c r="L54" s="36">
        <v>62</v>
      </c>
      <c r="M54" s="49">
        <v>11</v>
      </c>
      <c r="Z54" s="64" t="s">
        <v>80</v>
      </c>
      <c r="AA54" s="20">
        <v>1</v>
      </c>
      <c r="AB54" s="26">
        <v>800</v>
      </c>
      <c r="AC54" s="29">
        <v>2.355</v>
      </c>
      <c r="AE54" s="38">
        <v>6</v>
      </c>
      <c r="AF54" s="4">
        <v>170.03</v>
      </c>
      <c r="AG54" s="39">
        <v>0.24740000000000001</v>
      </c>
      <c r="AO54" s="45">
        <v>4</v>
      </c>
      <c r="AP54" s="38">
        <f t="shared" si="1"/>
        <v>2112.6760563380285</v>
      </c>
      <c r="AQ54" s="37">
        <f t="shared" si="4"/>
        <v>0.21299999999999997</v>
      </c>
      <c r="AS54" s="38">
        <f t="shared" si="2"/>
        <v>2442.9967426710095</v>
      </c>
      <c r="AT54" s="37">
        <f t="shared" si="5"/>
        <v>0.30700000000000005</v>
      </c>
      <c r="AV54" s="38">
        <f t="shared" si="3"/>
        <v>2678.571428571428</v>
      </c>
      <c r="AW54" s="37">
        <f t="shared" si="6"/>
        <v>0.44800000000000006</v>
      </c>
    </row>
    <row r="55" spans="1:49" x14ac:dyDescent="0.2">
      <c r="A55" s="36">
        <v>12</v>
      </c>
      <c r="B55" s="38">
        <v>7</v>
      </c>
      <c r="C55" s="41">
        <v>1.6490000000000001E-2</v>
      </c>
      <c r="D55" s="39">
        <v>53.65</v>
      </c>
      <c r="E55" s="41">
        <v>1.6490000000000001E-2</v>
      </c>
      <c r="H55" s="41">
        <f t="shared" si="0"/>
        <v>1.6490000000000001E-2</v>
      </c>
      <c r="J55" s="41">
        <v>6.3229999999999995E-2</v>
      </c>
      <c r="K55" s="41">
        <v>2.0821000000000001</v>
      </c>
      <c r="L55" s="36">
        <v>64</v>
      </c>
      <c r="M55" s="49">
        <v>12</v>
      </c>
      <c r="Z55" s="64" t="s">
        <v>80</v>
      </c>
      <c r="AA55" s="20">
        <v>1</v>
      </c>
      <c r="AB55" s="26">
        <v>900</v>
      </c>
      <c r="AC55" s="29">
        <v>2.3932000000000002</v>
      </c>
      <c r="AE55" s="38">
        <v>7</v>
      </c>
      <c r="AF55" s="4">
        <v>176.82</v>
      </c>
      <c r="AG55" s="39">
        <v>0.2581</v>
      </c>
      <c r="AO55" s="45">
        <v>5</v>
      </c>
      <c r="AP55" s="38">
        <f t="shared" si="1"/>
        <v>1923.0769230769233</v>
      </c>
      <c r="AQ55" s="37">
        <f t="shared" si="4"/>
        <v>0.23399999999999996</v>
      </c>
      <c r="AS55" s="38">
        <f t="shared" si="2"/>
        <v>2300.6134969325149</v>
      </c>
      <c r="AT55" s="37">
        <f t="shared" si="5"/>
        <v>0.32600000000000007</v>
      </c>
      <c r="AV55" s="38">
        <f t="shared" si="3"/>
        <v>2586.2068965517237</v>
      </c>
      <c r="AW55" s="37">
        <f t="shared" si="6"/>
        <v>0.46400000000000008</v>
      </c>
    </row>
    <row r="56" spans="1:49" x14ac:dyDescent="0.2">
      <c r="A56" s="36">
        <v>13</v>
      </c>
      <c r="B56" s="38">
        <v>8</v>
      </c>
      <c r="C56" s="41">
        <v>1.653E-2</v>
      </c>
      <c r="D56" s="39">
        <v>47.35</v>
      </c>
      <c r="E56" s="41">
        <v>1.653E-2</v>
      </c>
      <c r="H56" s="41">
        <f t="shared" si="0"/>
        <v>1.653E-2</v>
      </c>
      <c r="J56" s="41">
        <v>6.7040000000000002E-2</v>
      </c>
      <c r="K56" s="41">
        <v>2.0760999999999998</v>
      </c>
      <c r="L56" s="36">
        <v>66</v>
      </c>
      <c r="M56" s="49">
        <v>13</v>
      </c>
      <c r="Z56" s="65" t="s">
        <v>80</v>
      </c>
      <c r="AA56" s="21">
        <v>1</v>
      </c>
      <c r="AB56" s="30">
        <v>1000</v>
      </c>
      <c r="AC56" s="33">
        <v>2.4293999999999998</v>
      </c>
      <c r="AE56" s="38">
        <v>8</v>
      </c>
      <c r="AF56" s="4">
        <v>182.84</v>
      </c>
      <c r="AG56" s="39">
        <v>0.26750000000000002</v>
      </c>
      <c r="AO56" s="45">
        <v>6</v>
      </c>
      <c r="AP56" s="38">
        <f t="shared" si="1"/>
        <v>1764.7058823529414</v>
      </c>
      <c r="AQ56" s="37">
        <f t="shared" si="4"/>
        <v>0.25499999999999995</v>
      </c>
      <c r="AS56" s="38">
        <f t="shared" si="2"/>
        <v>2173.9130434782605</v>
      </c>
      <c r="AT56" s="37">
        <f t="shared" si="5"/>
        <v>0.34500000000000008</v>
      </c>
      <c r="AV56" s="38">
        <f t="shared" si="3"/>
        <v>2499.9999999999995</v>
      </c>
      <c r="AW56" s="37">
        <f t="shared" si="6"/>
        <v>0.48000000000000009</v>
      </c>
    </row>
    <row r="57" spans="1:49" x14ac:dyDescent="0.2">
      <c r="A57" s="36">
        <v>14</v>
      </c>
      <c r="B57" s="38">
        <v>9</v>
      </c>
      <c r="C57" s="41">
        <v>1.6559999999999998E-2</v>
      </c>
      <c r="D57" s="39">
        <v>42.41</v>
      </c>
      <c r="E57" s="41">
        <v>1.6559999999999998E-2</v>
      </c>
      <c r="H57" s="41">
        <f t="shared" si="0"/>
        <v>1.6559999999999998E-2</v>
      </c>
      <c r="J57" s="41">
        <v>7.084E-2</v>
      </c>
      <c r="K57" s="41">
        <v>2.0701000000000001</v>
      </c>
      <c r="L57" s="36">
        <v>68</v>
      </c>
      <c r="M57" s="49">
        <v>14</v>
      </c>
      <c r="Z57" s="110"/>
      <c r="AA57" s="154" t="str">
        <f>CONCATENATE(Z58," sat liq")</f>
        <v>14.7 psia sat liq</v>
      </c>
      <c r="AB57" s="36">
        <f>AB58</f>
        <v>212</v>
      </c>
      <c r="AC57" s="39">
        <f>INDEX($AG$44:$AG$114,MATCH(AA58,$AE$44:$AE$114,0))</f>
        <v>0.31209999999999999</v>
      </c>
      <c r="AE57" s="38">
        <v>9</v>
      </c>
      <c r="AF57" s="4">
        <v>188.26</v>
      </c>
      <c r="AG57" s="39">
        <v>0.27600000000000002</v>
      </c>
      <c r="AO57" s="45">
        <v>7</v>
      </c>
      <c r="AP57" s="38">
        <f t="shared" si="1"/>
        <v>1630.4347826086957</v>
      </c>
      <c r="AQ57" s="37">
        <f t="shared" si="4"/>
        <v>0.27599999999999997</v>
      </c>
      <c r="AS57" s="38">
        <f t="shared" si="2"/>
        <v>2060.43956043956</v>
      </c>
      <c r="AT57" s="37">
        <f t="shared" si="5"/>
        <v>0.3640000000000001</v>
      </c>
      <c r="AV57" s="38">
        <f t="shared" si="3"/>
        <v>2419.3548387096771</v>
      </c>
      <c r="AW57" s="37">
        <f t="shared" si="6"/>
        <v>0.49600000000000011</v>
      </c>
    </row>
    <row r="58" spans="1:49" x14ac:dyDescent="0.2">
      <c r="A58" s="36">
        <v>15</v>
      </c>
      <c r="B58" s="38">
        <v>10</v>
      </c>
      <c r="C58" s="41">
        <v>1.6590000000000001E-2</v>
      </c>
      <c r="D58" s="39">
        <v>38.42</v>
      </c>
      <c r="E58" s="41">
        <v>1.6590000000000001E-2</v>
      </c>
      <c r="H58" s="41">
        <f t="shared" si="0"/>
        <v>1.6590000000000001E-2</v>
      </c>
      <c r="J58" s="41">
        <v>7.4630000000000002E-2</v>
      </c>
      <c r="K58" s="41">
        <v>2.0642</v>
      </c>
      <c r="L58" s="36">
        <v>70</v>
      </c>
      <c r="M58" s="49">
        <v>15</v>
      </c>
      <c r="Z58" s="71" t="s">
        <v>205</v>
      </c>
      <c r="AA58" s="40">
        <v>14.696</v>
      </c>
      <c r="AB58" s="26">
        <v>212</v>
      </c>
      <c r="AC58" s="29">
        <v>1.7566999999999999</v>
      </c>
      <c r="AE58" s="38">
        <v>10</v>
      </c>
      <c r="AF58" s="4">
        <v>193.19</v>
      </c>
      <c r="AG58" s="39">
        <v>0.28360000000000002</v>
      </c>
      <c r="AO58" s="45">
        <v>8</v>
      </c>
      <c r="AP58" s="38">
        <f t="shared" si="1"/>
        <v>1515.1515151515152</v>
      </c>
      <c r="AQ58" s="37">
        <f t="shared" si="4"/>
        <v>0.29699999999999999</v>
      </c>
      <c r="AS58" s="38">
        <f t="shared" si="2"/>
        <v>1958.2245430809394</v>
      </c>
      <c r="AT58" s="37">
        <f t="shared" si="5"/>
        <v>0.38300000000000012</v>
      </c>
      <c r="AV58" s="38">
        <f t="shared" si="3"/>
        <v>2343.7499999999995</v>
      </c>
      <c r="AW58" s="37">
        <f t="shared" si="6"/>
        <v>0.51200000000000012</v>
      </c>
    </row>
    <row r="59" spans="1:49" x14ac:dyDescent="0.2">
      <c r="A59" s="36">
        <v>16</v>
      </c>
      <c r="B59" s="36">
        <v>14.696</v>
      </c>
      <c r="C59" s="41">
        <v>1.6719999999999999E-2</v>
      </c>
      <c r="D59" s="39">
        <v>26.8</v>
      </c>
      <c r="E59" s="41">
        <v>1.6719999999999999E-2</v>
      </c>
      <c r="H59" s="41">
        <f t="shared" si="0"/>
        <v>1.6719999999999999E-2</v>
      </c>
      <c r="J59" s="41">
        <v>7.8390000000000001E-2</v>
      </c>
      <c r="K59" s="41">
        <v>2.0583999999999998</v>
      </c>
      <c r="L59" s="36">
        <v>72</v>
      </c>
      <c r="M59" s="49">
        <v>16</v>
      </c>
      <c r="Z59" s="71" t="s">
        <v>80</v>
      </c>
      <c r="AA59" s="17">
        <v>14.7</v>
      </c>
      <c r="AB59" s="26">
        <v>250</v>
      </c>
      <c r="AC59" s="29">
        <v>1.7831999999999999</v>
      </c>
      <c r="AE59" s="36">
        <v>14.696</v>
      </c>
      <c r="AF59" s="4">
        <v>211.99</v>
      </c>
      <c r="AG59" s="39">
        <v>0.31209999999999999</v>
      </c>
      <c r="AO59" s="45">
        <v>9</v>
      </c>
      <c r="AP59" s="38">
        <f t="shared" si="1"/>
        <v>1415.0943396226414</v>
      </c>
      <c r="AQ59" s="37">
        <f t="shared" si="4"/>
        <v>0.318</v>
      </c>
      <c r="AS59" s="38">
        <f t="shared" si="2"/>
        <v>1865.6716417910441</v>
      </c>
      <c r="AT59" s="37">
        <f t="shared" si="5"/>
        <v>0.40200000000000014</v>
      </c>
      <c r="AV59" s="38">
        <f t="shared" si="3"/>
        <v>2272.7272727272721</v>
      </c>
      <c r="AW59" s="37">
        <f t="shared" si="6"/>
        <v>0.52800000000000014</v>
      </c>
    </row>
    <row r="60" spans="1:49" x14ac:dyDescent="0.2">
      <c r="A60" s="36">
        <v>17</v>
      </c>
      <c r="B60" s="36">
        <v>15</v>
      </c>
      <c r="C60" s="41">
        <v>1.6719999999999999E-2</v>
      </c>
      <c r="D60" s="39">
        <v>26.29</v>
      </c>
      <c r="E60" s="41">
        <v>1.6719999999999999E-2</v>
      </c>
      <c r="H60" s="41">
        <f t="shared" si="0"/>
        <v>1.6719999999999999E-2</v>
      </c>
      <c r="J60" s="41">
        <v>8.2150000000000001E-2</v>
      </c>
      <c r="K60" s="41">
        <v>2.0526</v>
      </c>
      <c r="L60" s="36">
        <v>74</v>
      </c>
      <c r="M60" s="49">
        <v>17</v>
      </c>
      <c r="Z60" s="71" t="s">
        <v>80</v>
      </c>
      <c r="AA60" s="17">
        <v>14.7</v>
      </c>
      <c r="AB60" s="26">
        <v>300</v>
      </c>
      <c r="AC60" s="29">
        <v>1.8157000000000001</v>
      </c>
      <c r="AE60" s="36">
        <v>15</v>
      </c>
      <c r="AF60" s="4">
        <v>213.03</v>
      </c>
      <c r="AG60" s="39">
        <v>0.31369999999999998</v>
      </c>
      <c r="AO60" s="45">
        <v>10</v>
      </c>
      <c r="AP60" s="38">
        <f t="shared" si="1"/>
        <v>1327.4336283185839</v>
      </c>
      <c r="AQ60" s="37">
        <f t="shared" si="4"/>
        <v>0.33900000000000002</v>
      </c>
      <c r="AS60" s="38">
        <f t="shared" si="2"/>
        <v>1781.4726840855101</v>
      </c>
      <c r="AT60" s="37">
        <f t="shared" si="5"/>
        <v>0.42100000000000015</v>
      </c>
      <c r="AV60" s="38">
        <f t="shared" si="3"/>
        <v>2205.8823529411757</v>
      </c>
      <c r="AW60" s="37">
        <f t="shared" si="6"/>
        <v>0.54400000000000015</v>
      </c>
    </row>
    <row r="61" spans="1:49" x14ac:dyDescent="0.2">
      <c r="A61" s="36">
        <v>18</v>
      </c>
      <c r="B61" s="36">
        <v>20</v>
      </c>
      <c r="C61" s="41">
        <v>1.6830000000000001E-2</v>
      </c>
      <c r="D61" s="39">
        <v>20.09</v>
      </c>
      <c r="E61" s="41">
        <v>1.6830000000000001E-2</v>
      </c>
      <c r="H61" s="41">
        <f t="shared" si="0"/>
        <v>1.6830000000000001E-2</v>
      </c>
      <c r="J61" s="41">
        <v>8.5889999999999994E-2</v>
      </c>
      <c r="K61" s="41">
        <v>2.0468999999999999</v>
      </c>
      <c r="L61" s="36">
        <v>76</v>
      </c>
      <c r="M61" s="49">
        <v>18</v>
      </c>
      <c r="Z61" s="71" t="s">
        <v>80</v>
      </c>
      <c r="AA61" s="17">
        <v>14.7</v>
      </c>
      <c r="AB61" s="26">
        <v>400</v>
      </c>
      <c r="AC61" s="29">
        <v>1.8741000000000001</v>
      </c>
      <c r="AE61" s="36">
        <v>20</v>
      </c>
      <c r="AF61" s="4">
        <v>227.96</v>
      </c>
      <c r="AG61" s="39">
        <v>0.33579999999999999</v>
      </c>
      <c r="AO61" s="45">
        <v>11</v>
      </c>
      <c r="AP61" s="38">
        <f t="shared" si="1"/>
        <v>1249.9999999999998</v>
      </c>
      <c r="AQ61" s="37">
        <f t="shared" si="4"/>
        <v>0.36000000000000004</v>
      </c>
      <c r="AS61" s="38">
        <f t="shared" si="2"/>
        <v>1704.5454545454538</v>
      </c>
      <c r="AT61" s="37">
        <f t="shared" si="5"/>
        <v>0.44000000000000017</v>
      </c>
      <c r="AV61" s="38">
        <f t="shared" si="3"/>
        <v>2142.8571428571422</v>
      </c>
      <c r="AW61" s="37">
        <f t="shared" si="6"/>
        <v>0.56000000000000016</v>
      </c>
    </row>
    <row r="62" spans="1:49" x14ac:dyDescent="0.2">
      <c r="A62" s="36">
        <v>19</v>
      </c>
      <c r="B62" s="36">
        <v>25</v>
      </c>
      <c r="C62" s="41">
        <v>1.6920000000000001E-2</v>
      </c>
      <c r="D62" s="39">
        <v>16.309999999999999</v>
      </c>
      <c r="E62" s="41">
        <v>1.6920000000000001E-2</v>
      </c>
      <c r="H62" s="41">
        <f t="shared" si="0"/>
        <v>1.6920000000000001E-2</v>
      </c>
      <c r="J62" s="41">
        <v>8.9609999999999995E-2</v>
      </c>
      <c r="K62" s="41">
        <v>2.0411999999999999</v>
      </c>
      <c r="L62" s="36">
        <v>78</v>
      </c>
      <c r="M62" s="49">
        <v>19</v>
      </c>
      <c r="Z62" s="71" t="s">
        <v>80</v>
      </c>
      <c r="AA62" s="17">
        <v>14.7</v>
      </c>
      <c r="AB62" s="26">
        <v>500</v>
      </c>
      <c r="AC62" s="29">
        <v>1.9262999999999999</v>
      </c>
      <c r="AE62" s="36">
        <v>25</v>
      </c>
      <c r="AF62" s="4">
        <v>240.08</v>
      </c>
      <c r="AG62" s="39">
        <v>0.35349999999999998</v>
      </c>
      <c r="AO62" s="45">
        <v>12</v>
      </c>
      <c r="AP62" s="38">
        <f t="shared" si="1"/>
        <v>1181.1023622047242</v>
      </c>
      <c r="AQ62" s="37">
        <f t="shared" si="4"/>
        <v>0.38100000000000006</v>
      </c>
      <c r="AS62" s="38">
        <f t="shared" si="2"/>
        <v>1633.9869281045744</v>
      </c>
      <c r="AT62" s="37">
        <f t="shared" si="5"/>
        <v>0.45900000000000019</v>
      </c>
      <c r="AV62" s="38">
        <f t="shared" si="3"/>
        <v>2083.3333333333326</v>
      </c>
      <c r="AW62" s="37">
        <f t="shared" si="6"/>
        <v>0.57600000000000018</v>
      </c>
    </row>
    <row r="63" spans="1:49" x14ac:dyDescent="0.2">
      <c r="A63" s="36">
        <v>20</v>
      </c>
      <c r="B63" s="36">
        <v>30</v>
      </c>
      <c r="C63" s="41">
        <v>1.7000000000000001E-2</v>
      </c>
      <c r="D63" s="39">
        <v>13.75</v>
      </c>
      <c r="E63" s="41">
        <v>1.7000000000000001E-2</v>
      </c>
      <c r="H63" s="41">
        <f t="shared" si="0"/>
        <v>1.7000000000000001E-2</v>
      </c>
      <c r="J63" s="41">
        <v>9.332E-2</v>
      </c>
      <c r="K63" s="41">
        <v>2.0356000000000001</v>
      </c>
      <c r="L63" s="36">
        <v>80</v>
      </c>
      <c r="M63" s="49">
        <v>20</v>
      </c>
      <c r="Z63" s="71" t="s">
        <v>80</v>
      </c>
      <c r="AA63" s="17">
        <v>14.7</v>
      </c>
      <c r="AB63" s="26">
        <v>600</v>
      </c>
      <c r="AC63" s="29">
        <v>1.9737</v>
      </c>
      <c r="AE63" s="36">
        <v>30</v>
      </c>
      <c r="AF63" s="4">
        <v>250.34</v>
      </c>
      <c r="AG63" s="39">
        <v>0.36820000000000003</v>
      </c>
      <c r="AO63" s="45">
        <v>13</v>
      </c>
      <c r="AP63" s="38">
        <f t="shared" si="1"/>
        <v>1119.4029850746267</v>
      </c>
      <c r="AQ63" s="37">
        <f t="shared" si="4"/>
        <v>0.40200000000000008</v>
      </c>
      <c r="AS63" s="38">
        <f t="shared" si="2"/>
        <v>1569.0376569037651</v>
      </c>
      <c r="AT63" s="37">
        <f t="shared" si="5"/>
        <v>0.4780000000000002</v>
      </c>
      <c r="AV63" s="38">
        <f t="shared" si="3"/>
        <v>2027.0270270270264</v>
      </c>
      <c r="AW63" s="37">
        <f t="shared" si="6"/>
        <v>0.59200000000000019</v>
      </c>
    </row>
    <row r="64" spans="1:49" x14ac:dyDescent="0.2">
      <c r="A64" s="36">
        <v>21</v>
      </c>
      <c r="B64" s="36">
        <v>35</v>
      </c>
      <c r="C64" s="41">
        <v>1.7080000000000001E-2</v>
      </c>
      <c r="D64" s="39">
        <v>11.9</v>
      </c>
      <c r="E64" s="41">
        <v>1.7080000000000001E-2</v>
      </c>
      <c r="H64" s="41">
        <f t="shared" si="0"/>
        <v>1.7080000000000001E-2</v>
      </c>
      <c r="J64" s="41">
        <v>9.7009999999999999E-2</v>
      </c>
      <c r="K64" s="41">
        <v>2.0299999999999998</v>
      </c>
      <c r="L64" s="36">
        <v>82</v>
      </c>
      <c r="M64" s="49">
        <v>21</v>
      </c>
      <c r="Z64" s="71" t="s">
        <v>80</v>
      </c>
      <c r="AA64" s="17">
        <v>14.7</v>
      </c>
      <c r="AB64" s="26">
        <v>700</v>
      </c>
      <c r="AC64" s="29">
        <v>2.0175000000000001</v>
      </c>
      <c r="AE64" s="36">
        <v>35</v>
      </c>
      <c r="AF64" s="4">
        <v>259.3</v>
      </c>
      <c r="AG64" s="39">
        <v>0.38090000000000002</v>
      </c>
      <c r="AO64" s="45">
        <v>14</v>
      </c>
      <c r="AP64" s="38">
        <f t="shared" si="1"/>
        <v>1063.8297872340422</v>
      </c>
      <c r="AQ64" s="37">
        <f t="shared" si="4"/>
        <v>0.4230000000000001</v>
      </c>
      <c r="AS64" s="38">
        <f t="shared" si="2"/>
        <v>1509.0543259557337</v>
      </c>
      <c r="AT64" s="37">
        <f t="shared" si="5"/>
        <v>0.49700000000000022</v>
      </c>
      <c r="AV64" s="38">
        <f t="shared" si="3"/>
        <v>1973.6842105263152</v>
      </c>
      <c r="AW64" s="37">
        <f t="shared" si="6"/>
        <v>0.60800000000000021</v>
      </c>
    </row>
    <row r="65" spans="1:49" x14ac:dyDescent="0.2">
      <c r="A65" s="36">
        <v>22</v>
      </c>
      <c r="B65" s="36">
        <v>40</v>
      </c>
      <c r="C65" s="41">
        <v>1.7149999999999999E-2</v>
      </c>
      <c r="D65" s="39">
        <v>10.5</v>
      </c>
      <c r="E65" s="41">
        <v>1.7149999999999999E-2</v>
      </c>
      <c r="H65" s="41">
        <f t="shared" si="0"/>
        <v>1.7149999999999999E-2</v>
      </c>
      <c r="J65" s="41">
        <v>0.1007</v>
      </c>
      <c r="K65" s="41">
        <v>2.0245000000000002</v>
      </c>
      <c r="L65" s="36">
        <v>84</v>
      </c>
      <c r="M65" s="49">
        <v>22</v>
      </c>
      <c r="Z65" s="71" t="s">
        <v>80</v>
      </c>
      <c r="AA65" s="17">
        <v>14.7</v>
      </c>
      <c r="AB65" s="26">
        <v>800</v>
      </c>
      <c r="AC65" s="29">
        <v>2.0583999999999998</v>
      </c>
      <c r="AE65" s="36">
        <v>40</v>
      </c>
      <c r="AF65" s="4">
        <v>267.26</v>
      </c>
      <c r="AG65" s="39">
        <v>0.3921</v>
      </c>
      <c r="AO65" s="45">
        <v>15</v>
      </c>
      <c r="AP65" s="38">
        <f t="shared" si="1"/>
        <v>1013.5135135135132</v>
      </c>
      <c r="AQ65" s="37">
        <f t="shared" si="4"/>
        <v>0.44400000000000012</v>
      </c>
      <c r="AS65" s="38">
        <f t="shared" si="2"/>
        <v>1453.4883720930227</v>
      </c>
      <c r="AT65" s="37">
        <f t="shared" si="5"/>
        <v>0.51600000000000024</v>
      </c>
      <c r="AV65" s="38">
        <f t="shared" si="3"/>
        <v>1923.0769230769224</v>
      </c>
      <c r="AW65" s="37">
        <f t="shared" si="6"/>
        <v>0.62400000000000022</v>
      </c>
    </row>
    <row r="66" spans="1:49" x14ac:dyDescent="0.2">
      <c r="A66" s="36">
        <v>23</v>
      </c>
      <c r="B66" s="36">
        <v>45</v>
      </c>
      <c r="C66" s="41">
        <v>1.721E-2</v>
      </c>
      <c r="D66" s="39">
        <v>9.4</v>
      </c>
      <c r="E66" s="41">
        <v>1.721E-2</v>
      </c>
      <c r="H66" s="41">
        <f t="shared" si="0"/>
        <v>1.721E-2</v>
      </c>
      <c r="J66" s="41">
        <v>0.10440000000000001</v>
      </c>
      <c r="K66" s="41">
        <v>2.0190000000000001</v>
      </c>
      <c r="L66" s="36">
        <v>86</v>
      </c>
      <c r="M66" s="49">
        <v>23</v>
      </c>
      <c r="Z66" s="71" t="s">
        <v>80</v>
      </c>
      <c r="AA66" s="17">
        <v>14.7</v>
      </c>
      <c r="AB66" s="26">
        <v>900</v>
      </c>
      <c r="AC66" s="29">
        <v>2.0966999999999998</v>
      </c>
      <c r="AE66" s="36">
        <v>45</v>
      </c>
      <c r="AF66" s="4">
        <v>274.45999999999998</v>
      </c>
      <c r="AG66" s="39">
        <v>0.4022</v>
      </c>
      <c r="AO66" s="45">
        <v>16</v>
      </c>
      <c r="AP66" s="38">
        <f t="shared" si="1"/>
        <v>967.74193548387063</v>
      </c>
      <c r="AQ66" s="37">
        <f t="shared" si="4"/>
        <v>0.46500000000000014</v>
      </c>
      <c r="AS66" s="38">
        <f t="shared" si="2"/>
        <v>1401.8691588785041</v>
      </c>
      <c r="AT66" s="37">
        <f t="shared" si="5"/>
        <v>0.53500000000000025</v>
      </c>
      <c r="AV66" s="38">
        <f t="shared" si="3"/>
        <v>1874.9999999999993</v>
      </c>
      <c r="AW66" s="37">
        <f t="shared" si="6"/>
        <v>0.64000000000000024</v>
      </c>
    </row>
    <row r="67" spans="1:49" x14ac:dyDescent="0.2">
      <c r="A67" s="36">
        <v>24</v>
      </c>
      <c r="B67" s="36">
        <v>50</v>
      </c>
      <c r="C67" s="41">
        <v>1.7270000000000001E-2</v>
      </c>
      <c r="D67" s="39">
        <v>8.52</v>
      </c>
      <c r="E67" s="41">
        <v>1.7270000000000001E-2</v>
      </c>
      <c r="H67" s="41">
        <f t="shared" si="0"/>
        <v>1.7270000000000001E-2</v>
      </c>
      <c r="J67" s="41">
        <v>0.108</v>
      </c>
      <c r="K67" s="41">
        <v>2.0135999999999998</v>
      </c>
      <c r="L67" s="36">
        <v>88</v>
      </c>
      <c r="M67" s="49">
        <v>24</v>
      </c>
      <c r="Z67" s="71" t="s">
        <v>80</v>
      </c>
      <c r="AA67" s="17">
        <v>14.7</v>
      </c>
      <c r="AB67" s="26">
        <v>1000</v>
      </c>
      <c r="AC67" s="29">
        <v>2.133</v>
      </c>
      <c r="AE67" s="36">
        <v>50</v>
      </c>
      <c r="AF67" s="4">
        <v>281.02999999999997</v>
      </c>
      <c r="AG67" s="39">
        <v>0.4113</v>
      </c>
      <c r="AO67" s="45">
        <v>17</v>
      </c>
      <c r="AP67" s="38">
        <f t="shared" si="1"/>
        <v>925.92592592592564</v>
      </c>
      <c r="AQ67" s="37">
        <f t="shared" si="4"/>
        <v>0.48600000000000015</v>
      </c>
      <c r="AS67" s="38">
        <f t="shared" si="2"/>
        <v>1353.7906137184109</v>
      </c>
      <c r="AT67" s="37">
        <f t="shared" si="5"/>
        <v>0.55400000000000027</v>
      </c>
      <c r="AV67" s="38">
        <f t="shared" si="3"/>
        <v>1829.2682926829261</v>
      </c>
      <c r="AW67" s="37">
        <f t="shared" si="6"/>
        <v>0.65600000000000025</v>
      </c>
    </row>
    <row r="68" spans="1:49" x14ac:dyDescent="0.2">
      <c r="A68" s="36">
        <v>25</v>
      </c>
      <c r="B68" s="36">
        <v>55</v>
      </c>
      <c r="C68" s="41">
        <v>1.7330000000000002E-2</v>
      </c>
      <c r="D68" s="39">
        <v>7.79</v>
      </c>
      <c r="E68" s="41">
        <v>1.7330000000000002E-2</v>
      </c>
      <c r="H68" s="41">
        <f t="shared" si="0"/>
        <v>1.7330000000000002E-2</v>
      </c>
      <c r="J68" s="41">
        <v>0.11169999999999999</v>
      </c>
      <c r="K68" s="41">
        <v>2.0083000000000002</v>
      </c>
      <c r="L68" s="36">
        <v>90</v>
      </c>
      <c r="M68" s="49">
        <v>25</v>
      </c>
      <c r="Z68" s="71" t="s">
        <v>80</v>
      </c>
      <c r="AA68" s="17">
        <v>14.7</v>
      </c>
      <c r="AB68" s="26">
        <v>1100</v>
      </c>
      <c r="AC68" s="29">
        <v>2.1674000000000002</v>
      </c>
      <c r="AE68" s="36">
        <v>55</v>
      </c>
      <c r="AF68" s="4">
        <v>287.10000000000002</v>
      </c>
      <c r="AG68" s="39">
        <v>0.41959999999999997</v>
      </c>
      <c r="AO68" s="45">
        <v>18</v>
      </c>
      <c r="AP68" s="38">
        <f t="shared" si="1"/>
        <v>887.57396449704117</v>
      </c>
      <c r="AQ68" s="37">
        <f t="shared" si="4"/>
        <v>0.50700000000000012</v>
      </c>
      <c r="AS68" s="38">
        <f t="shared" si="2"/>
        <v>1308.9005235602087</v>
      </c>
      <c r="AT68" s="37">
        <f t="shared" si="5"/>
        <v>0.57300000000000029</v>
      </c>
      <c r="AV68" s="38">
        <f t="shared" si="3"/>
        <v>1785.7142857142851</v>
      </c>
      <c r="AW68" s="37">
        <f t="shared" si="6"/>
        <v>0.67200000000000026</v>
      </c>
    </row>
    <row r="69" spans="1:49" x14ac:dyDescent="0.2">
      <c r="A69" s="36">
        <v>26</v>
      </c>
      <c r="B69" s="36">
        <v>60</v>
      </c>
      <c r="C69" s="41">
        <v>1.738E-2</v>
      </c>
      <c r="D69" s="39">
        <v>7.1769999999999996</v>
      </c>
      <c r="E69" s="41">
        <v>1.738E-2</v>
      </c>
      <c r="H69" s="41">
        <f t="shared" si="0"/>
        <v>1.738E-2</v>
      </c>
      <c r="J69" s="41">
        <v>0.1153</v>
      </c>
      <c r="K69" s="41">
        <v>2.0030000000000001</v>
      </c>
      <c r="L69" s="36">
        <v>92</v>
      </c>
      <c r="M69" s="49">
        <v>26</v>
      </c>
      <c r="Z69" s="110"/>
      <c r="AA69" s="154" t="str">
        <f>CONCATENATE(Z70," sat liq")</f>
        <v>120 psia sat liq</v>
      </c>
      <c r="AB69" s="36">
        <f>AB70</f>
        <v>341.3</v>
      </c>
      <c r="AC69" s="39">
        <f>INDEX($AG$44:$AG$114,MATCH(AA70,$AE$44:$AE$114,0))</f>
        <v>0.49199999999999999</v>
      </c>
      <c r="AE69" s="36">
        <v>60</v>
      </c>
      <c r="AF69" s="4">
        <v>292.73</v>
      </c>
      <c r="AG69" s="39">
        <v>0.42730000000000001</v>
      </c>
      <c r="AO69" s="45">
        <v>19</v>
      </c>
      <c r="AP69" s="38">
        <f t="shared" si="1"/>
        <v>852.27272727272702</v>
      </c>
      <c r="AQ69" s="37">
        <f t="shared" si="4"/>
        <v>0.52800000000000014</v>
      </c>
      <c r="AS69" s="38">
        <f t="shared" si="2"/>
        <v>1266.8918918918912</v>
      </c>
      <c r="AT69" s="37">
        <f t="shared" si="5"/>
        <v>0.5920000000000003</v>
      </c>
      <c r="AV69" s="38">
        <f t="shared" si="3"/>
        <v>1744.1860465116272</v>
      </c>
      <c r="AW69" s="37">
        <f t="shared" si="6"/>
        <v>0.68800000000000028</v>
      </c>
    </row>
    <row r="70" spans="1:49" x14ac:dyDescent="0.2">
      <c r="A70" s="36">
        <v>27</v>
      </c>
      <c r="B70" s="36">
        <v>65</v>
      </c>
      <c r="C70" s="41">
        <v>1.7430000000000001E-2</v>
      </c>
      <c r="D70" s="39">
        <v>6.6470000000000002</v>
      </c>
      <c r="E70" s="41">
        <v>1.7430000000000001E-2</v>
      </c>
      <c r="H70" s="41">
        <f t="shared" si="0"/>
        <v>1.7430000000000001E-2</v>
      </c>
      <c r="J70" s="41">
        <v>0.11890000000000001</v>
      </c>
      <c r="K70" s="41">
        <v>1.9977</v>
      </c>
      <c r="L70" s="36">
        <v>94</v>
      </c>
      <c r="M70" s="49">
        <v>27</v>
      </c>
      <c r="Z70" s="71" t="s">
        <v>206</v>
      </c>
      <c r="AA70" s="17">
        <v>120</v>
      </c>
      <c r="AB70" s="26">
        <v>341.3</v>
      </c>
      <c r="AC70" s="29">
        <v>1.5886</v>
      </c>
      <c r="AE70" s="36">
        <v>65</v>
      </c>
      <c r="AF70" s="4">
        <v>298</v>
      </c>
      <c r="AG70" s="39">
        <v>0.4345</v>
      </c>
      <c r="AO70" s="45">
        <v>20</v>
      </c>
      <c r="AP70" s="38">
        <f t="shared" si="1"/>
        <v>819.67213114754077</v>
      </c>
      <c r="AQ70" s="37">
        <f t="shared" si="4"/>
        <v>0.54900000000000015</v>
      </c>
      <c r="AS70" s="38">
        <f t="shared" si="2"/>
        <v>1227.4959083469716</v>
      </c>
      <c r="AT70" s="37">
        <f t="shared" si="5"/>
        <v>0.61100000000000032</v>
      </c>
      <c r="AV70" s="38">
        <f t="shared" si="3"/>
        <v>1704.5454545454538</v>
      </c>
      <c r="AW70" s="37">
        <f t="shared" si="6"/>
        <v>0.70400000000000029</v>
      </c>
    </row>
    <row r="71" spans="1:49" x14ac:dyDescent="0.2">
      <c r="A71" s="36">
        <v>28</v>
      </c>
      <c r="B71" s="36">
        <v>70</v>
      </c>
      <c r="C71" s="41">
        <v>1.7479999999999999E-2</v>
      </c>
      <c r="D71" s="39">
        <v>6.2089999999999996</v>
      </c>
      <c r="E71" s="41">
        <v>1.7479999999999999E-2</v>
      </c>
      <c r="H71" s="41">
        <f t="shared" si="0"/>
        <v>1.7479999999999999E-2</v>
      </c>
      <c r="J71" s="41">
        <v>0.1225</v>
      </c>
      <c r="K71" s="41">
        <v>1.9924999999999999</v>
      </c>
      <c r="L71" s="36">
        <v>96</v>
      </c>
      <c r="M71" s="49">
        <v>28</v>
      </c>
      <c r="Z71" s="71" t="s">
        <v>80</v>
      </c>
      <c r="AA71" s="17">
        <v>120</v>
      </c>
      <c r="AB71" s="26">
        <v>350</v>
      </c>
      <c r="AC71" s="29">
        <v>1.595</v>
      </c>
      <c r="AE71" s="36">
        <v>70</v>
      </c>
      <c r="AF71" s="4">
        <v>302.95999999999998</v>
      </c>
      <c r="AG71" s="39">
        <v>0.44119999999999998</v>
      </c>
      <c r="AO71" s="45">
        <v>21</v>
      </c>
      <c r="AP71" s="38">
        <f t="shared" si="1"/>
        <v>789.47368421052613</v>
      </c>
      <c r="AQ71" s="37">
        <f t="shared" si="4"/>
        <v>0.57000000000000017</v>
      </c>
      <c r="AS71" s="38">
        <f t="shared" si="2"/>
        <v>1190.4761904761899</v>
      </c>
      <c r="AT71" s="37">
        <f t="shared" si="5"/>
        <v>0.63000000000000034</v>
      </c>
      <c r="AV71" s="38">
        <f t="shared" si="3"/>
        <v>1666.6666666666661</v>
      </c>
      <c r="AW71" s="37">
        <f t="shared" si="6"/>
        <v>0.72000000000000031</v>
      </c>
    </row>
    <row r="72" spans="1:49" x14ac:dyDescent="0.2">
      <c r="A72" s="36">
        <v>29</v>
      </c>
      <c r="B72" s="36">
        <v>75</v>
      </c>
      <c r="C72" s="41">
        <v>1.7520000000000001E-2</v>
      </c>
      <c r="D72" s="39">
        <v>5.8179999999999996</v>
      </c>
      <c r="E72" s="41">
        <v>1.7520000000000001E-2</v>
      </c>
      <c r="H72" s="41">
        <f t="shared" si="0"/>
        <v>1.7520000000000001E-2</v>
      </c>
      <c r="J72" s="41">
        <v>0.12609999999999999</v>
      </c>
      <c r="K72" s="41">
        <v>1.9874000000000001</v>
      </c>
      <c r="L72" s="36">
        <v>98</v>
      </c>
      <c r="M72" s="49">
        <v>29</v>
      </c>
      <c r="Z72" s="71" t="s">
        <v>80</v>
      </c>
      <c r="AA72" s="17">
        <v>120</v>
      </c>
      <c r="AB72" s="26">
        <v>400</v>
      </c>
      <c r="AC72" s="29">
        <v>1.6288</v>
      </c>
      <c r="AE72" s="36">
        <v>75</v>
      </c>
      <c r="AF72" s="4">
        <v>307.63</v>
      </c>
      <c r="AG72" s="39">
        <v>0.44750000000000001</v>
      </c>
      <c r="AO72" s="45">
        <v>22</v>
      </c>
      <c r="AP72" s="38">
        <f t="shared" si="1"/>
        <v>761.42131979695409</v>
      </c>
      <c r="AQ72" s="37">
        <f t="shared" si="4"/>
        <v>0.59100000000000019</v>
      </c>
      <c r="AS72" s="38">
        <f t="shared" si="2"/>
        <v>1155.6240369799687</v>
      </c>
      <c r="AT72" s="37">
        <f t="shared" si="5"/>
        <v>0.64900000000000035</v>
      </c>
      <c r="AV72" s="38">
        <f t="shared" si="3"/>
        <v>1630.4347826086948</v>
      </c>
      <c r="AW72" s="37">
        <f t="shared" si="6"/>
        <v>0.73600000000000032</v>
      </c>
    </row>
    <row r="73" spans="1:49" x14ac:dyDescent="0.2">
      <c r="A73" s="36">
        <v>30</v>
      </c>
      <c r="B73" s="36">
        <v>80</v>
      </c>
      <c r="C73" s="41">
        <v>1.7569999999999999E-2</v>
      </c>
      <c r="D73" s="39">
        <v>5.4740000000000002</v>
      </c>
      <c r="E73" s="41">
        <v>1.7569999999999999E-2</v>
      </c>
      <c r="H73" s="41">
        <f t="shared" si="0"/>
        <v>1.7569999999999999E-2</v>
      </c>
      <c r="J73" s="41">
        <v>0.12959999999999999</v>
      </c>
      <c r="K73" s="41">
        <v>1.9822</v>
      </c>
      <c r="L73" s="36">
        <v>100</v>
      </c>
      <c r="M73" s="49">
        <v>30</v>
      </c>
      <c r="Z73" s="71" t="s">
        <v>80</v>
      </c>
      <c r="AA73" s="17">
        <v>120</v>
      </c>
      <c r="AB73" s="26">
        <v>450</v>
      </c>
      <c r="AC73" s="29">
        <v>1.659</v>
      </c>
      <c r="AE73" s="36">
        <v>80</v>
      </c>
      <c r="AF73" s="4">
        <v>312.07</v>
      </c>
      <c r="AG73" s="39">
        <v>0.45340000000000003</v>
      </c>
      <c r="AO73" s="45">
        <v>23</v>
      </c>
      <c r="AP73" s="38">
        <f t="shared" si="1"/>
        <v>735.29411764705856</v>
      </c>
      <c r="AQ73" s="37">
        <f t="shared" si="4"/>
        <v>0.61200000000000021</v>
      </c>
      <c r="AS73" s="38">
        <f t="shared" si="2"/>
        <v>1122.7544910179633</v>
      </c>
      <c r="AT73" s="37">
        <f t="shared" si="5"/>
        <v>0.66800000000000037</v>
      </c>
      <c r="AV73" s="38">
        <f t="shared" si="3"/>
        <v>1595.7446808510631</v>
      </c>
      <c r="AW73" s="37">
        <f t="shared" si="6"/>
        <v>0.75200000000000033</v>
      </c>
    </row>
    <row r="74" spans="1:49" x14ac:dyDescent="0.2">
      <c r="A74" s="36">
        <v>31</v>
      </c>
      <c r="B74" s="36">
        <v>85</v>
      </c>
      <c r="C74" s="41">
        <v>1.7610000000000001E-2</v>
      </c>
      <c r="D74" s="39">
        <v>5.17</v>
      </c>
      <c r="E74" s="41">
        <v>1.7610000000000001E-2</v>
      </c>
      <c r="H74" s="41">
        <f t="shared" si="0"/>
        <v>1.7610000000000001E-2</v>
      </c>
      <c r="J74" s="41">
        <v>0.14729999999999999</v>
      </c>
      <c r="K74" s="41">
        <v>1.9574</v>
      </c>
      <c r="L74" s="36">
        <v>110</v>
      </c>
      <c r="M74" s="49">
        <v>31</v>
      </c>
      <c r="Z74" s="71" t="s">
        <v>80</v>
      </c>
      <c r="AA74" s="17">
        <v>120</v>
      </c>
      <c r="AB74" s="26">
        <v>500</v>
      </c>
      <c r="AC74" s="29">
        <v>1.6868000000000001</v>
      </c>
      <c r="AE74" s="36">
        <v>85</v>
      </c>
      <c r="AF74" s="4">
        <v>316.29000000000002</v>
      </c>
      <c r="AG74" s="39">
        <v>0.45910000000000001</v>
      </c>
      <c r="AO74" s="45">
        <v>24</v>
      </c>
      <c r="AP74" s="38">
        <f t="shared" si="1"/>
        <v>710.90047393364898</v>
      </c>
      <c r="AQ74" s="37">
        <f t="shared" si="4"/>
        <v>0.63300000000000023</v>
      </c>
      <c r="AS74" s="38">
        <f t="shared" si="2"/>
        <v>1091.7030567685583</v>
      </c>
      <c r="AT74" s="37">
        <f t="shared" si="5"/>
        <v>0.68700000000000039</v>
      </c>
      <c r="AV74" s="38">
        <f t="shared" si="3"/>
        <v>1562.4999999999993</v>
      </c>
      <c r="AW74" s="37">
        <f t="shared" si="6"/>
        <v>0.76800000000000035</v>
      </c>
    </row>
    <row r="75" spans="1:49" x14ac:dyDescent="0.2">
      <c r="A75" s="36">
        <v>32</v>
      </c>
      <c r="B75" s="36">
        <v>90</v>
      </c>
      <c r="C75" s="41">
        <v>1.7659999999999999E-2</v>
      </c>
      <c r="D75" s="39">
        <v>4.8979999999999997</v>
      </c>
      <c r="E75" s="41">
        <v>1.7659999999999999E-2</v>
      </c>
      <c r="H75" s="41">
        <f t="shared" si="0"/>
        <v>1.7659999999999999E-2</v>
      </c>
      <c r="J75" s="41">
        <v>0.16470000000000001</v>
      </c>
      <c r="K75" s="41">
        <v>1.9336</v>
      </c>
      <c r="L75" s="36">
        <v>120</v>
      </c>
      <c r="M75" s="49">
        <v>32</v>
      </c>
      <c r="Z75" s="71" t="s">
        <v>80</v>
      </c>
      <c r="AA75" s="17">
        <v>120</v>
      </c>
      <c r="AB75" s="26">
        <v>600</v>
      </c>
      <c r="AC75" s="29">
        <v>1.7371000000000001</v>
      </c>
      <c r="AE75" s="36">
        <v>90</v>
      </c>
      <c r="AF75" s="4">
        <v>320.31</v>
      </c>
      <c r="AG75" s="39">
        <v>0.46439999999999998</v>
      </c>
      <c r="AO75" s="45">
        <v>25</v>
      </c>
      <c r="AP75" s="38">
        <f t="shared" si="1"/>
        <v>688.07339449541257</v>
      </c>
      <c r="AQ75" s="37">
        <f t="shared" si="4"/>
        <v>0.65400000000000025</v>
      </c>
      <c r="AS75" s="38">
        <f t="shared" si="2"/>
        <v>1062.3229461756368</v>
      </c>
      <c r="AT75" s="37">
        <f t="shared" si="5"/>
        <v>0.70600000000000041</v>
      </c>
      <c r="AV75" s="38">
        <f t="shared" si="3"/>
        <v>1530.6122448979584</v>
      </c>
      <c r="AW75" s="37">
        <f t="shared" si="6"/>
        <v>0.78400000000000036</v>
      </c>
    </row>
    <row r="76" spans="1:49" x14ac:dyDescent="0.2">
      <c r="A76" s="36">
        <v>33</v>
      </c>
      <c r="B76" s="36">
        <v>95</v>
      </c>
      <c r="C76" s="41">
        <v>1.77E-2</v>
      </c>
      <c r="D76" s="39">
        <v>4.6539999999999999</v>
      </c>
      <c r="E76" s="41">
        <v>1.77E-2</v>
      </c>
      <c r="H76" s="41">
        <f t="shared" si="0"/>
        <v>1.77E-2</v>
      </c>
      <c r="J76" s="41">
        <v>0.1817</v>
      </c>
      <c r="K76" s="41">
        <v>1.9109</v>
      </c>
      <c r="L76" s="36">
        <v>130</v>
      </c>
      <c r="M76" s="49">
        <v>33</v>
      </c>
      <c r="Z76" s="71" t="s">
        <v>80</v>
      </c>
      <c r="AA76" s="17">
        <v>120</v>
      </c>
      <c r="AB76" s="26">
        <v>700</v>
      </c>
      <c r="AC76" s="29">
        <v>1.7825</v>
      </c>
      <c r="AE76" s="36">
        <v>95</v>
      </c>
      <c r="AF76" s="4">
        <v>324.16000000000003</v>
      </c>
      <c r="AG76" s="39">
        <v>0.46949999999999997</v>
      </c>
      <c r="AO76" s="45">
        <v>26</v>
      </c>
      <c r="AP76" s="38">
        <f t="shared" si="1"/>
        <v>666.6666666666664</v>
      </c>
      <c r="AQ76" s="37">
        <f t="shared" si="4"/>
        <v>0.67500000000000027</v>
      </c>
      <c r="AS76" s="38">
        <f t="shared" si="2"/>
        <v>1034.4827586206891</v>
      </c>
      <c r="AT76" s="37">
        <f t="shared" si="5"/>
        <v>0.72500000000000042</v>
      </c>
      <c r="AV76" s="38">
        <f t="shared" si="3"/>
        <v>1499.9999999999993</v>
      </c>
      <c r="AW76" s="37">
        <f t="shared" si="6"/>
        <v>0.80000000000000038</v>
      </c>
    </row>
    <row r="77" spans="1:49" x14ac:dyDescent="0.2">
      <c r="A77" s="36">
        <v>34</v>
      </c>
      <c r="B77" s="36">
        <v>100</v>
      </c>
      <c r="C77" s="41">
        <v>1.7739999999999999E-2</v>
      </c>
      <c r="D77" s="39">
        <v>4.4340000000000002</v>
      </c>
      <c r="E77" s="41">
        <v>1.7739999999999999E-2</v>
      </c>
      <c r="H77" s="41">
        <f t="shared" si="0"/>
        <v>1.7739999999999999E-2</v>
      </c>
      <c r="J77" s="41">
        <v>0.19850000000000001</v>
      </c>
      <c r="K77" s="41">
        <v>1.8892</v>
      </c>
      <c r="L77" s="36">
        <v>140</v>
      </c>
      <c r="M77" s="49">
        <v>34</v>
      </c>
      <c r="Z77" s="71" t="s">
        <v>80</v>
      </c>
      <c r="AA77" s="17">
        <v>120</v>
      </c>
      <c r="AB77" s="26">
        <v>800</v>
      </c>
      <c r="AC77" s="29">
        <v>1.8243</v>
      </c>
      <c r="AE77" s="36">
        <v>100</v>
      </c>
      <c r="AF77" s="4">
        <v>327.86</v>
      </c>
      <c r="AG77" s="39">
        <v>0.47439999999999999</v>
      </c>
      <c r="AO77" s="45">
        <v>27</v>
      </c>
      <c r="AP77" s="38">
        <f t="shared" si="1"/>
        <v>646.55172413793082</v>
      </c>
      <c r="AQ77" s="37">
        <f t="shared" si="4"/>
        <v>0.69600000000000029</v>
      </c>
      <c r="AS77" s="38">
        <f t="shared" si="2"/>
        <v>1008.0645161290316</v>
      </c>
      <c r="AT77" s="37">
        <f t="shared" si="5"/>
        <v>0.74400000000000044</v>
      </c>
      <c r="AV77" s="38">
        <f t="shared" si="3"/>
        <v>1470.5882352941169</v>
      </c>
      <c r="AW77" s="37">
        <f t="shared" si="6"/>
        <v>0.81600000000000039</v>
      </c>
    </row>
    <row r="78" spans="1:49" x14ac:dyDescent="0.2">
      <c r="A78" s="36">
        <v>35</v>
      </c>
      <c r="B78" s="36">
        <v>110</v>
      </c>
      <c r="C78" s="41">
        <v>1.7809999999999999E-2</v>
      </c>
      <c r="D78" s="39">
        <v>4.0510000000000002</v>
      </c>
      <c r="E78" s="41">
        <v>1.7809999999999999E-2</v>
      </c>
      <c r="H78" s="41">
        <f t="shared" si="0"/>
        <v>1.7809999999999999E-2</v>
      </c>
      <c r="J78" s="41">
        <v>0.215</v>
      </c>
      <c r="K78" s="41">
        <v>1.8684000000000001</v>
      </c>
      <c r="L78" s="36">
        <v>150</v>
      </c>
      <c r="M78" s="49">
        <v>35</v>
      </c>
      <c r="Z78" s="71" t="s">
        <v>80</v>
      </c>
      <c r="AA78" s="17">
        <v>120</v>
      </c>
      <c r="AB78" s="26">
        <v>900</v>
      </c>
      <c r="AC78" s="29">
        <v>1.8633</v>
      </c>
      <c r="AE78" s="36">
        <v>110</v>
      </c>
      <c r="AF78" s="4">
        <v>334.82</v>
      </c>
      <c r="AG78" s="39">
        <v>0.48359999999999997</v>
      </c>
      <c r="AO78" s="45">
        <v>28</v>
      </c>
      <c r="AP78" s="38">
        <f t="shared" si="1"/>
        <v>627.61506276150601</v>
      </c>
      <c r="AQ78" s="37">
        <f t="shared" si="4"/>
        <v>0.7170000000000003</v>
      </c>
      <c r="AS78" s="38">
        <f t="shared" si="2"/>
        <v>982.96199213630348</v>
      </c>
      <c r="AT78" s="37">
        <f t="shared" si="5"/>
        <v>0.76300000000000046</v>
      </c>
      <c r="AV78" s="38">
        <f t="shared" si="3"/>
        <v>1442.3076923076917</v>
      </c>
      <c r="AW78" s="37">
        <f t="shared" si="6"/>
        <v>0.83200000000000041</v>
      </c>
    </row>
    <row r="79" spans="1:49" x14ac:dyDescent="0.2">
      <c r="A79" s="36">
        <v>36</v>
      </c>
      <c r="B79" s="36">
        <v>120</v>
      </c>
      <c r="C79" s="41">
        <v>1.789E-2</v>
      </c>
      <c r="D79" s="39">
        <v>3.73</v>
      </c>
      <c r="E79" s="41">
        <v>1.789E-2</v>
      </c>
      <c r="H79" s="41">
        <f t="shared" si="0"/>
        <v>1.789E-2</v>
      </c>
      <c r="J79" s="41">
        <v>0.23130000000000001</v>
      </c>
      <c r="K79" s="41">
        <v>1.8484</v>
      </c>
      <c r="L79" s="36">
        <v>160</v>
      </c>
      <c r="M79" s="49">
        <v>36</v>
      </c>
      <c r="Z79" s="71" t="s">
        <v>80</v>
      </c>
      <c r="AA79" s="17">
        <v>120</v>
      </c>
      <c r="AB79" s="26">
        <v>1000</v>
      </c>
      <c r="AC79" s="29">
        <v>1.9</v>
      </c>
      <c r="AE79" s="36">
        <v>120</v>
      </c>
      <c r="AF79" s="4">
        <v>341.3</v>
      </c>
      <c r="AG79" s="39">
        <v>0.49199999999999999</v>
      </c>
      <c r="AO79" s="45">
        <v>29</v>
      </c>
      <c r="AP79" s="38">
        <f t="shared" si="1"/>
        <v>609.75609756097538</v>
      </c>
      <c r="AQ79" s="37">
        <f t="shared" si="4"/>
        <v>0.73800000000000032</v>
      </c>
      <c r="AS79" s="38">
        <f t="shared" si="2"/>
        <v>959.07928388746745</v>
      </c>
      <c r="AT79" s="37">
        <f t="shared" si="5"/>
        <v>0.78200000000000047</v>
      </c>
      <c r="AV79" s="38">
        <f t="shared" si="3"/>
        <v>1415.0943396226407</v>
      </c>
      <c r="AW79" s="37">
        <f t="shared" si="6"/>
        <v>0.84800000000000042</v>
      </c>
    </row>
    <row r="80" spans="1:49" x14ac:dyDescent="0.2">
      <c r="A80" s="36">
        <v>37</v>
      </c>
      <c r="B80" s="36">
        <v>130</v>
      </c>
      <c r="C80" s="41">
        <v>1.796E-2</v>
      </c>
      <c r="D80" s="39">
        <v>3.4569999999999999</v>
      </c>
      <c r="E80" s="41">
        <v>1.796E-2</v>
      </c>
      <c r="H80" s="41">
        <f t="shared" si="0"/>
        <v>1.796E-2</v>
      </c>
      <c r="J80" s="41">
        <v>0.24729999999999999</v>
      </c>
      <c r="K80" s="41">
        <v>1.8292999999999999</v>
      </c>
      <c r="L80" s="36">
        <v>170</v>
      </c>
      <c r="M80" s="49">
        <v>37</v>
      </c>
      <c r="Z80" s="71" t="s">
        <v>80</v>
      </c>
      <c r="AA80" s="17">
        <v>120</v>
      </c>
      <c r="AB80" s="26">
        <v>1100</v>
      </c>
      <c r="AC80" s="29">
        <v>1.9348000000000001</v>
      </c>
      <c r="AE80" s="36">
        <v>130</v>
      </c>
      <c r="AF80" s="4">
        <v>347.37</v>
      </c>
      <c r="AG80" s="39">
        <v>0.49990000000000001</v>
      </c>
      <c r="AO80" s="45">
        <v>30</v>
      </c>
      <c r="AP80" s="38">
        <f t="shared" si="1"/>
        <v>592.8853754940709</v>
      </c>
      <c r="AQ80" s="37">
        <f t="shared" si="4"/>
        <v>0.75900000000000034</v>
      </c>
      <c r="AS80" s="38">
        <f t="shared" si="2"/>
        <v>936.32958801498069</v>
      </c>
      <c r="AT80" s="37">
        <f t="shared" si="5"/>
        <v>0.80100000000000049</v>
      </c>
      <c r="AV80" s="38">
        <f t="shared" si="3"/>
        <v>1388.8888888888882</v>
      </c>
      <c r="AW80" s="37">
        <f t="shared" si="6"/>
        <v>0.86400000000000043</v>
      </c>
    </row>
    <row r="81" spans="1:49" x14ac:dyDescent="0.2">
      <c r="A81" s="36">
        <v>38</v>
      </c>
      <c r="B81" s="36">
        <v>140</v>
      </c>
      <c r="C81" s="41">
        <v>1.8020000000000001E-2</v>
      </c>
      <c r="D81" s="39">
        <v>3.2210000000000001</v>
      </c>
      <c r="E81" s="41">
        <v>1.8020000000000001E-2</v>
      </c>
      <c r="H81" s="41">
        <f t="shared" si="0"/>
        <v>1.8020000000000001E-2</v>
      </c>
      <c r="J81" s="41">
        <v>0.2631</v>
      </c>
      <c r="K81" s="41">
        <v>1.8109</v>
      </c>
      <c r="L81" s="36">
        <v>180</v>
      </c>
      <c r="M81" s="49">
        <v>38</v>
      </c>
      <c r="Z81" s="71" t="s">
        <v>80</v>
      </c>
      <c r="AA81" s="17">
        <v>120</v>
      </c>
      <c r="AB81" s="26">
        <v>1200</v>
      </c>
      <c r="AC81" s="29">
        <v>1.9679</v>
      </c>
      <c r="AE81" s="36">
        <v>140</v>
      </c>
      <c r="AF81" s="4">
        <v>353.08</v>
      </c>
      <c r="AG81" s="39">
        <v>0.50729999999999997</v>
      </c>
      <c r="AO81" s="45">
        <v>31</v>
      </c>
      <c r="AP81" s="38">
        <f t="shared" si="1"/>
        <v>576.92307692307668</v>
      </c>
      <c r="AQ81" s="37">
        <f t="shared" si="4"/>
        <v>0.78000000000000036</v>
      </c>
      <c r="AS81" s="38">
        <f t="shared" si="2"/>
        <v>914.63414634146284</v>
      </c>
      <c r="AT81" s="37">
        <f t="shared" si="5"/>
        <v>0.82000000000000051</v>
      </c>
      <c r="AV81" s="38">
        <f t="shared" si="3"/>
        <v>1363.6363636363628</v>
      </c>
      <c r="AW81" s="37">
        <f t="shared" si="6"/>
        <v>0.88000000000000045</v>
      </c>
    </row>
    <row r="82" spans="1:49" x14ac:dyDescent="0.2">
      <c r="A82" s="36">
        <v>39</v>
      </c>
      <c r="B82" s="36">
        <v>150</v>
      </c>
      <c r="C82" s="41">
        <v>1.8089999999999998E-2</v>
      </c>
      <c r="D82" s="39">
        <v>3.016</v>
      </c>
      <c r="E82" s="41">
        <v>1.8089999999999998E-2</v>
      </c>
      <c r="H82" s="41">
        <f t="shared" si="0"/>
        <v>1.8089999999999998E-2</v>
      </c>
      <c r="J82" s="41">
        <v>0.2787</v>
      </c>
      <c r="K82" s="41">
        <v>1.7931999999999999</v>
      </c>
      <c r="L82" s="36">
        <v>190</v>
      </c>
      <c r="M82" s="49">
        <v>39</v>
      </c>
      <c r="Z82" s="110"/>
      <c r="AA82" s="154" t="str">
        <f>CONCATENATE(Z83," sat liq")</f>
        <v>350 psia sat liq</v>
      </c>
      <c r="AB82" s="36">
        <f>AB83</f>
        <v>431.8</v>
      </c>
      <c r="AC82" s="39">
        <f>INDEX($AG$44:$AG$114,MATCH(AA83,$AE$44:$AE$114,0))</f>
        <v>0.60599999999999998</v>
      </c>
      <c r="AE82" s="36">
        <v>150</v>
      </c>
      <c r="AF82" s="4">
        <v>358.48</v>
      </c>
      <c r="AG82" s="39">
        <v>0.51419999999999999</v>
      </c>
      <c r="AO82" s="45">
        <v>32</v>
      </c>
      <c r="AP82" s="38">
        <f t="shared" si="1"/>
        <v>561.79775280898855</v>
      </c>
      <c r="AQ82" s="37">
        <f t="shared" si="4"/>
        <v>0.80100000000000038</v>
      </c>
      <c r="AS82" s="38">
        <f t="shared" si="2"/>
        <v>893.92133492252628</v>
      </c>
      <c r="AT82" s="37">
        <f t="shared" si="5"/>
        <v>0.83900000000000052</v>
      </c>
      <c r="AV82" s="38">
        <f t="shared" si="3"/>
        <v>1339.2857142857135</v>
      </c>
      <c r="AW82" s="37">
        <f t="shared" si="6"/>
        <v>0.89600000000000046</v>
      </c>
    </row>
    <row r="83" spans="1:49" x14ac:dyDescent="0.2">
      <c r="A83" s="36">
        <v>40</v>
      </c>
      <c r="B83" s="36">
        <v>160</v>
      </c>
      <c r="C83" s="41">
        <v>1.8149999999999999E-2</v>
      </c>
      <c r="D83" s="39">
        <v>2.8359999999999999</v>
      </c>
      <c r="E83" s="41">
        <v>1.8149999999999999E-2</v>
      </c>
      <c r="H83" s="41">
        <f t="shared" si="0"/>
        <v>1.8149999999999999E-2</v>
      </c>
      <c r="J83" s="41">
        <v>0.29399999999999998</v>
      </c>
      <c r="K83" s="41">
        <v>1.7762</v>
      </c>
      <c r="L83" s="36">
        <v>200</v>
      </c>
      <c r="M83" s="49">
        <v>40</v>
      </c>
      <c r="Z83" s="63" t="s">
        <v>207</v>
      </c>
      <c r="AA83" s="19">
        <v>350</v>
      </c>
      <c r="AB83" s="22">
        <v>431.8</v>
      </c>
      <c r="AC83" s="25">
        <v>1.4978</v>
      </c>
      <c r="AE83" s="36">
        <v>160</v>
      </c>
      <c r="AF83" s="4">
        <v>363.6</v>
      </c>
      <c r="AG83" s="39">
        <v>0.52080000000000004</v>
      </c>
      <c r="AO83" s="45">
        <v>33</v>
      </c>
      <c r="AP83" s="38">
        <f t="shared" ref="AP83:AP101" si="7">AP$46/AQ83</f>
        <v>547.44525547445232</v>
      </c>
      <c r="AQ83" s="37">
        <f t="shared" si="4"/>
        <v>0.8220000000000004</v>
      </c>
      <c r="AS83" s="38">
        <f t="shared" ref="AS83:AS101" si="8">AS$46/AT83</f>
        <v>874.12587412587357</v>
      </c>
      <c r="AT83" s="37">
        <f t="shared" si="5"/>
        <v>0.85800000000000054</v>
      </c>
      <c r="AV83" s="38">
        <f t="shared" ref="AV83:AV101" si="9">AV$46/AW83</f>
        <v>1315.78947368421</v>
      </c>
      <c r="AW83" s="37">
        <f t="shared" si="6"/>
        <v>0.91200000000000048</v>
      </c>
    </row>
    <row r="84" spans="1:49" x14ac:dyDescent="0.2">
      <c r="A84" s="36">
        <v>41</v>
      </c>
      <c r="B84" s="36">
        <v>170</v>
      </c>
      <c r="C84" s="41">
        <v>1.821E-2</v>
      </c>
      <c r="D84" s="39">
        <v>2.6760000000000002</v>
      </c>
      <c r="E84" s="41">
        <v>1.821E-2</v>
      </c>
      <c r="H84" s="41">
        <f t="shared" si="0"/>
        <v>1.821E-2</v>
      </c>
      <c r="J84" s="41">
        <v>0.30909999999999999</v>
      </c>
      <c r="K84" s="41">
        <v>1.7599</v>
      </c>
      <c r="L84" s="36">
        <v>210</v>
      </c>
      <c r="M84" s="49">
        <v>41</v>
      </c>
      <c r="Z84" s="64" t="s">
        <v>80</v>
      </c>
      <c r="AA84" s="20">
        <v>350</v>
      </c>
      <c r="AB84" s="26">
        <v>450</v>
      </c>
      <c r="AC84" s="29">
        <v>1.5125</v>
      </c>
      <c r="AE84" s="36">
        <v>170</v>
      </c>
      <c r="AF84" s="4">
        <v>368.47</v>
      </c>
      <c r="AG84" s="39">
        <v>0.52700000000000002</v>
      </c>
      <c r="AO84" s="45">
        <v>34</v>
      </c>
      <c r="AP84" s="38">
        <f t="shared" si="7"/>
        <v>533.80782918149441</v>
      </c>
      <c r="AQ84" s="37">
        <f t="shared" ref="AQ84:AQ101" si="10">AQ83+AP$49</f>
        <v>0.84300000000000042</v>
      </c>
      <c r="AS84" s="38">
        <f t="shared" si="8"/>
        <v>855.18814139110555</v>
      </c>
      <c r="AT84" s="37">
        <f t="shared" ref="AT84:AT101" si="11">AT83+AS$49</f>
        <v>0.87700000000000056</v>
      </c>
      <c r="AV84" s="38">
        <f t="shared" si="9"/>
        <v>1293.1034482758614</v>
      </c>
      <c r="AW84" s="37">
        <f t="shared" ref="AW84:AW101" si="12">AW83+AV$49</f>
        <v>0.92800000000000049</v>
      </c>
    </row>
    <row r="85" spans="1:49" x14ac:dyDescent="0.2">
      <c r="A85" s="36">
        <v>42</v>
      </c>
      <c r="B85" s="36">
        <v>180</v>
      </c>
      <c r="C85" s="41">
        <v>1.8270000000000002E-2</v>
      </c>
      <c r="D85" s="39">
        <v>2.5529999999999999</v>
      </c>
      <c r="E85" s="41">
        <v>1.8270000000000002E-2</v>
      </c>
      <c r="H85" s="41">
        <f t="shared" si="0"/>
        <v>1.8270000000000002E-2</v>
      </c>
      <c r="J85" s="41">
        <v>0.31209999999999999</v>
      </c>
      <c r="K85" s="41">
        <v>1.7566999999999999</v>
      </c>
      <c r="L85" s="36">
        <v>212</v>
      </c>
      <c r="M85" s="49">
        <v>42</v>
      </c>
      <c r="Z85" s="64" t="s">
        <v>80</v>
      </c>
      <c r="AA85" s="20">
        <v>350</v>
      </c>
      <c r="AB85" s="26">
        <v>500</v>
      </c>
      <c r="AC85" s="29">
        <v>1.5482</v>
      </c>
      <c r="AE85" s="36">
        <v>180</v>
      </c>
      <c r="AF85" s="4">
        <v>373.13</v>
      </c>
      <c r="AG85" s="39">
        <v>0.53290000000000004</v>
      </c>
      <c r="AO85" s="45">
        <v>35</v>
      </c>
      <c r="AP85" s="38">
        <f t="shared" si="7"/>
        <v>520.83333333333303</v>
      </c>
      <c r="AQ85" s="37">
        <f t="shared" si="10"/>
        <v>0.86400000000000043</v>
      </c>
      <c r="AS85" s="38">
        <f t="shared" si="8"/>
        <v>837.05357142857088</v>
      </c>
      <c r="AT85" s="37">
        <f t="shared" si="11"/>
        <v>0.89600000000000057</v>
      </c>
      <c r="AV85" s="38">
        <f t="shared" si="9"/>
        <v>1271.1864406779655</v>
      </c>
      <c r="AW85" s="37">
        <f t="shared" si="12"/>
        <v>0.94400000000000051</v>
      </c>
    </row>
    <row r="86" spans="1:49" x14ac:dyDescent="0.2">
      <c r="A86" s="36">
        <v>43</v>
      </c>
      <c r="B86" s="36">
        <v>190</v>
      </c>
      <c r="C86" s="41">
        <v>1.8329999999999999E-2</v>
      </c>
      <c r="D86" s="39">
        <v>2.4049999999999998</v>
      </c>
      <c r="E86" s="41">
        <v>1.8329999999999999E-2</v>
      </c>
      <c r="H86" s="41">
        <f t="shared" si="0"/>
        <v>1.8329999999999999E-2</v>
      </c>
      <c r="J86" s="41">
        <v>0.3241</v>
      </c>
      <c r="K86" s="41">
        <v>1.7441</v>
      </c>
      <c r="L86" s="36">
        <v>220</v>
      </c>
      <c r="M86" s="49">
        <v>43</v>
      </c>
      <c r="Z86" s="64" t="s">
        <v>80</v>
      </c>
      <c r="AA86" s="20">
        <v>350</v>
      </c>
      <c r="AB86" s="26">
        <v>550</v>
      </c>
      <c r="AC86" s="29">
        <v>1.579</v>
      </c>
      <c r="AE86" s="36">
        <v>190</v>
      </c>
      <c r="AF86" s="4">
        <v>377.59</v>
      </c>
      <c r="AG86" s="39">
        <v>0.53859999999999997</v>
      </c>
      <c r="AO86" s="45">
        <v>36</v>
      </c>
      <c r="AP86" s="38">
        <f t="shared" si="7"/>
        <v>508.47457627118621</v>
      </c>
      <c r="AQ86" s="37">
        <f t="shared" si="10"/>
        <v>0.88500000000000045</v>
      </c>
      <c r="AS86" s="38">
        <f t="shared" si="8"/>
        <v>819.67213114754043</v>
      </c>
      <c r="AT86" s="37">
        <f t="shared" si="11"/>
        <v>0.91500000000000059</v>
      </c>
      <c r="AV86" s="38">
        <f t="shared" si="9"/>
        <v>1249.9999999999993</v>
      </c>
      <c r="AW86" s="37">
        <f t="shared" si="12"/>
        <v>0.96000000000000052</v>
      </c>
    </row>
    <row r="87" spans="1:49" x14ac:dyDescent="0.2">
      <c r="A87" s="36">
        <v>44</v>
      </c>
      <c r="B87" s="36">
        <v>200</v>
      </c>
      <c r="C87" s="41">
        <v>1.839E-2</v>
      </c>
      <c r="D87" s="39">
        <v>2.2890000000000001</v>
      </c>
      <c r="E87" s="41">
        <v>1.839E-2</v>
      </c>
      <c r="H87" s="41">
        <f t="shared" si="0"/>
        <v>1.839E-2</v>
      </c>
      <c r="J87" s="41">
        <v>0.33879999999999999</v>
      </c>
      <c r="K87" s="41">
        <v>1.7289000000000001</v>
      </c>
      <c r="L87" s="36">
        <v>230</v>
      </c>
      <c r="M87" s="49">
        <v>44</v>
      </c>
      <c r="Z87" s="64" t="s">
        <v>80</v>
      </c>
      <c r="AA87" s="20">
        <v>350</v>
      </c>
      <c r="AB87" s="26">
        <v>600</v>
      </c>
      <c r="AC87" s="29">
        <v>1.6068</v>
      </c>
      <c r="AE87" s="36">
        <v>200</v>
      </c>
      <c r="AF87" s="4">
        <v>381.86</v>
      </c>
      <c r="AG87" s="39">
        <v>0.54400000000000004</v>
      </c>
      <c r="AO87" s="45">
        <v>37</v>
      </c>
      <c r="AP87" s="38">
        <f t="shared" si="7"/>
        <v>496.68874172185406</v>
      </c>
      <c r="AQ87" s="37">
        <f t="shared" si="10"/>
        <v>0.90600000000000047</v>
      </c>
      <c r="AS87" s="38">
        <f t="shared" si="8"/>
        <v>802.99785867237631</v>
      </c>
      <c r="AT87" s="37">
        <f t="shared" si="11"/>
        <v>0.93400000000000061</v>
      </c>
      <c r="AV87" s="38">
        <f t="shared" si="9"/>
        <v>1229.5081967213107</v>
      </c>
      <c r="AW87" s="37">
        <f t="shared" si="12"/>
        <v>0.97600000000000053</v>
      </c>
    </row>
    <row r="88" spans="1:49" x14ac:dyDescent="0.2">
      <c r="A88" s="36">
        <v>45</v>
      </c>
      <c r="B88" s="36">
        <v>250</v>
      </c>
      <c r="C88" s="41">
        <v>1.865E-2</v>
      </c>
      <c r="D88" s="39">
        <v>1.845</v>
      </c>
      <c r="E88" s="41">
        <v>1.865E-2</v>
      </c>
      <c r="H88" s="41">
        <f t="shared" si="0"/>
        <v>1.865E-2</v>
      </c>
      <c r="J88" s="41">
        <v>0.35339999999999999</v>
      </c>
      <c r="K88" s="41">
        <v>1.7142999999999999</v>
      </c>
      <c r="L88" s="36">
        <v>240</v>
      </c>
      <c r="M88" s="49">
        <v>45</v>
      </c>
      <c r="Z88" s="64" t="s">
        <v>80</v>
      </c>
      <c r="AA88" s="20">
        <v>350</v>
      </c>
      <c r="AB88" s="26">
        <v>700</v>
      </c>
      <c r="AC88" s="29">
        <v>1.6561999999999999</v>
      </c>
      <c r="AE88" s="36">
        <v>250</v>
      </c>
      <c r="AF88" s="4">
        <v>401.04</v>
      </c>
      <c r="AG88" s="39">
        <v>0.56799999999999995</v>
      </c>
      <c r="AO88" s="45">
        <v>38</v>
      </c>
      <c r="AP88" s="38">
        <f t="shared" si="7"/>
        <v>485.43689320388324</v>
      </c>
      <c r="AQ88" s="37">
        <f t="shared" si="10"/>
        <v>0.92700000000000049</v>
      </c>
      <c r="AS88" s="38">
        <f t="shared" si="8"/>
        <v>786.98845750262274</v>
      </c>
      <c r="AT88" s="37">
        <f t="shared" si="11"/>
        <v>0.95300000000000062</v>
      </c>
      <c r="AV88" s="38">
        <f t="shared" si="9"/>
        <v>1209.6774193548381</v>
      </c>
      <c r="AW88" s="37">
        <f t="shared" si="12"/>
        <v>0.99200000000000055</v>
      </c>
    </row>
    <row r="89" spans="1:49" x14ac:dyDescent="0.2">
      <c r="A89" s="36">
        <v>46</v>
      </c>
      <c r="B89" s="36">
        <v>300</v>
      </c>
      <c r="C89" s="41">
        <v>1.89E-2</v>
      </c>
      <c r="D89" s="39">
        <v>1.544</v>
      </c>
      <c r="E89" s="41">
        <v>1.89E-2</v>
      </c>
      <c r="H89" s="41">
        <f t="shared" si="0"/>
        <v>1.89E-2</v>
      </c>
      <c r="J89" s="41">
        <v>0.36770000000000003</v>
      </c>
      <c r="K89" s="41">
        <v>1.7000999999999999</v>
      </c>
      <c r="L89" s="36">
        <v>250</v>
      </c>
      <c r="M89" s="49">
        <v>46</v>
      </c>
      <c r="Z89" s="64" t="s">
        <v>80</v>
      </c>
      <c r="AA89" s="20">
        <v>350</v>
      </c>
      <c r="AB89" s="26">
        <v>800</v>
      </c>
      <c r="AC89" s="29">
        <v>1.7003999999999999</v>
      </c>
      <c r="AE89" s="36">
        <v>300</v>
      </c>
      <c r="AF89" s="4">
        <v>417.43</v>
      </c>
      <c r="AG89" s="39">
        <v>0.58830000000000005</v>
      </c>
      <c r="AO89" s="45">
        <v>39</v>
      </c>
      <c r="AP89" s="38">
        <f t="shared" si="7"/>
        <v>474.68354430379719</v>
      </c>
      <c r="AQ89" s="37">
        <f t="shared" si="10"/>
        <v>0.94800000000000051</v>
      </c>
      <c r="AS89" s="38">
        <f t="shared" si="8"/>
        <v>771.6049382716044</v>
      </c>
      <c r="AT89" s="37">
        <f t="shared" si="11"/>
        <v>0.97200000000000064</v>
      </c>
      <c r="AV89" s="38">
        <f t="shared" si="9"/>
        <v>1190.4761904761899</v>
      </c>
      <c r="AW89" s="37">
        <f t="shared" si="12"/>
        <v>1.0080000000000005</v>
      </c>
    </row>
    <row r="90" spans="1:49" x14ac:dyDescent="0.2">
      <c r="A90" s="36">
        <v>47</v>
      </c>
      <c r="B90" s="36">
        <v>350</v>
      </c>
      <c r="C90" s="41">
        <v>1.9120000000000002E-2</v>
      </c>
      <c r="D90" s="39">
        <v>1.327</v>
      </c>
      <c r="E90" s="41">
        <v>1.9120000000000002E-2</v>
      </c>
      <c r="H90" s="41">
        <f t="shared" si="0"/>
        <v>1.9120000000000002E-2</v>
      </c>
      <c r="J90" s="41">
        <v>0.38190000000000002</v>
      </c>
      <c r="K90" s="41">
        <v>1.6863999999999999</v>
      </c>
      <c r="L90" s="36">
        <v>260</v>
      </c>
      <c r="M90" s="49">
        <v>47</v>
      </c>
      <c r="Z90" s="64" t="s">
        <v>80</v>
      </c>
      <c r="AA90" s="20">
        <v>350</v>
      </c>
      <c r="AB90" s="26">
        <v>900</v>
      </c>
      <c r="AC90" s="29">
        <v>1.7408999999999999</v>
      </c>
      <c r="AE90" s="36">
        <v>350</v>
      </c>
      <c r="AF90" s="4">
        <v>431.82</v>
      </c>
      <c r="AG90" s="39">
        <v>0.60599999999999998</v>
      </c>
      <c r="AO90" s="45">
        <v>40</v>
      </c>
      <c r="AP90" s="38">
        <f t="shared" si="7"/>
        <v>464.39628482972108</v>
      </c>
      <c r="AQ90" s="37">
        <f t="shared" si="10"/>
        <v>0.96900000000000053</v>
      </c>
      <c r="AS90" s="38">
        <f t="shared" si="8"/>
        <v>756.8113017154385</v>
      </c>
      <c r="AT90" s="37">
        <f t="shared" si="11"/>
        <v>0.99100000000000066</v>
      </c>
      <c r="AV90" s="38">
        <f t="shared" si="9"/>
        <v>1171.8749999999995</v>
      </c>
      <c r="AW90" s="37">
        <f t="shared" si="12"/>
        <v>1.0240000000000005</v>
      </c>
    </row>
    <row r="91" spans="1:49" x14ac:dyDescent="0.2">
      <c r="A91" s="36">
        <v>48</v>
      </c>
      <c r="B91" s="36">
        <v>400</v>
      </c>
      <c r="C91" s="41">
        <v>1.934E-2</v>
      </c>
      <c r="D91" s="39">
        <v>1.1619999999999999</v>
      </c>
      <c r="E91" s="41">
        <v>1.934E-2</v>
      </c>
      <c r="H91" s="41">
        <f t="shared" si="0"/>
        <v>1.934E-2</v>
      </c>
      <c r="J91" s="41">
        <v>0.39600000000000002</v>
      </c>
      <c r="K91" s="41">
        <v>1.6731</v>
      </c>
      <c r="L91" s="36">
        <v>270</v>
      </c>
      <c r="M91" s="49">
        <v>48</v>
      </c>
      <c r="Z91" s="64" t="s">
        <v>80</v>
      </c>
      <c r="AA91" s="20">
        <v>350</v>
      </c>
      <c r="AB91" s="26">
        <v>1000</v>
      </c>
      <c r="AC91" s="29">
        <v>1.7786999999999999</v>
      </c>
      <c r="AE91" s="36">
        <v>400</v>
      </c>
      <c r="AF91" s="4">
        <v>444.7</v>
      </c>
      <c r="AG91" s="39">
        <v>0.62180000000000002</v>
      </c>
      <c r="AO91" s="45">
        <v>41</v>
      </c>
      <c r="AP91" s="38">
        <f t="shared" si="7"/>
        <v>454.54545454545428</v>
      </c>
      <c r="AQ91" s="37">
        <f t="shared" si="10"/>
        <v>0.99000000000000055</v>
      </c>
      <c r="AS91" s="38">
        <f t="shared" si="8"/>
        <v>742.57425742574208</v>
      </c>
      <c r="AT91" s="37">
        <f t="shared" si="11"/>
        <v>1.0100000000000007</v>
      </c>
      <c r="AV91" s="38">
        <f t="shared" si="9"/>
        <v>1153.8461538461534</v>
      </c>
      <c r="AW91" s="37">
        <f t="shared" si="12"/>
        <v>1.0400000000000005</v>
      </c>
    </row>
    <row r="92" spans="1:49" x14ac:dyDescent="0.2">
      <c r="A92" s="36">
        <v>49</v>
      </c>
      <c r="B92" s="36">
        <v>450</v>
      </c>
      <c r="C92" s="41">
        <v>1.9550000000000001E-2</v>
      </c>
      <c r="D92" s="39">
        <v>1.0329999999999999</v>
      </c>
      <c r="E92" s="41">
        <v>1.9550000000000001E-2</v>
      </c>
      <c r="H92" s="41">
        <f t="shared" si="0"/>
        <v>1.9550000000000001E-2</v>
      </c>
      <c r="J92" s="41">
        <v>0.40989999999999999</v>
      </c>
      <c r="K92" s="41">
        <v>1.6601999999999999</v>
      </c>
      <c r="L92" s="36">
        <v>280</v>
      </c>
      <c r="M92" s="49">
        <v>49</v>
      </c>
      <c r="Z92" s="64" t="s">
        <v>80</v>
      </c>
      <c r="AA92" s="20">
        <v>350</v>
      </c>
      <c r="AB92" s="26">
        <v>1100</v>
      </c>
      <c r="AC92" s="29">
        <v>1.8142</v>
      </c>
      <c r="AE92" s="36">
        <v>450</v>
      </c>
      <c r="AF92" s="4">
        <v>456.39</v>
      </c>
      <c r="AG92" s="39">
        <v>0.63600000000000001</v>
      </c>
      <c r="AO92" s="45">
        <v>42</v>
      </c>
      <c r="AP92" s="38">
        <f t="shared" si="7"/>
        <v>445.10385756676533</v>
      </c>
      <c r="AQ92" s="37">
        <f t="shared" si="10"/>
        <v>1.0110000000000006</v>
      </c>
      <c r="AS92" s="38">
        <f t="shared" si="8"/>
        <v>728.8629737609325</v>
      </c>
      <c r="AT92" s="37">
        <f t="shared" si="11"/>
        <v>1.0290000000000006</v>
      </c>
      <c r="AV92" s="38">
        <f t="shared" si="9"/>
        <v>1136.3636363636358</v>
      </c>
      <c r="AW92" s="37">
        <f t="shared" si="12"/>
        <v>1.0560000000000005</v>
      </c>
    </row>
    <row r="93" spans="1:49" x14ac:dyDescent="0.2">
      <c r="A93" s="36">
        <v>50</v>
      </c>
      <c r="B93" s="36">
        <v>500</v>
      </c>
      <c r="C93" s="41">
        <v>1.975E-2</v>
      </c>
      <c r="D93" s="39">
        <v>0.92800000000000005</v>
      </c>
      <c r="E93" s="41">
        <v>1.975E-2</v>
      </c>
      <c r="H93" s="41">
        <f t="shared" si="0"/>
        <v>1.975E-2</v>
      </c>
      <c r="J93" s="41">
        <v>0.42359999999999998</v>
      </c>
      <c r="K93" s="41">
        <v>1.6476999999999999</v>
      </c>
      <c r="L93" s="36">
        <v>290</v>
      </c>
      <c r="M93" s="49">
        <v>50</v>
      </c>
      <c r="Z93" s="64" t="s">
        <v>80</v>
      </c>
      <c r="AA93" s="20">
        <v>350</v>
      </c>
      <c r="AB93" s="26">
        <v>1200</v>
      </c>
      <c r="AC93" s="29">
        <v>1.8478000000000001</v>
      </c>
      <c r="AE93" s="36">
        <v>500</v>
      </c>
      <c r="AF93" s="4">
        <v>467.13</v>
      </c>
      <c r="AG93" s="39">
        <v>0.64900000000000002</v>
      </c>
      <c r="AO93" s="45">
        <v>43</v>
      </c>
      <c r="AP93" s="38">
        <f t="shared" si="7"/>
        <v>436.0465116279068</v>
      </c>
      <c r="AQ93" s="37">
        <f t="shared" si="10"/>
        <v>1.0320000000000005</v>
      </c>
      <c r="AS93" s="38">
        <f t="shared" si="8"/>
        <v>715.64885496183172</v>
      </c>
      <c r="AT93" s="37">
        <f t="shared" si="11"/>
        <v>1.0480000000000005</v>
      </c>
      <c r="AV93" s="38">
        <f t="shared" si="9"/>
        <v>1119.4029850746263</v>
      </c>
      <c r="AW93" s="37">
        <f t="shared" si="12"/>
        <v>1.0720000000000005</v>
      </c>
    </row>
    <row r="94" spans="1:49" x14ac:dyDescent="0.2">
      <c r="A94" s="36">
        <v>51</v>
      </c>
      <c r="B94" s="36">
        <v>550</v>
      </c>
      <c r="C94" s="41">
        <v>1.9939999999999999E-2</v>
      </c>
      <c r="D94" s="39">
        <v>0.84199999999999997</v>
      </c>
      <c r="E94" s="41">
        <v>1.9939999999999999E-2</v>
      </c>
      <c r="H94" s="41">
        <f t="shared" si="0"/>
        <v>1.9939999999999999E-2</v>
      </c>
      <c r="J94" s="41">
        <v>0.43719999999999998</v>
      </c>
      <c r="K94" s="41">
        <v>1.6355999999999999</v>
      </c>
      <c r="L94" s="36">
        <v>300</v>
      </c>
      <c r="M94" s="49">
        <v>51</v>
      </c>
      <c r="Z94" s="65" t="s">
        <v>80</v>
      </c>
      <c r="AA94" s="21">
        <v>350</v>
      </c>
      <c r="AB94" s="30">
        <v>1300</v>
      </c>
      <c r="AC94" s="33">
        <v>1.8798999999999999</v>
      </c>
      <c r="AE94" s="36">
        <v>550</v>
      </c>
      <c r="AF94" s="4">
        <v>477.07</v>
      </c>
      <c r="AG94" s="39">
        <v>0.66110000000000002</v>
      </c>
      <c r="AO94" s="45">
        <v>44</v>
      </c>
      <c r="AP94" s="38">
        <f t="shared" si="7"/>
        <v>427.3504273504272</v>
      </c>
      <c r="AQ94" s="37">
        <f t="shared" si="10"/>
        <v>1.0530000000000004</v>
      </c>
      <c r="AS94" s="38">
        <f t="shared" si="8"/>
        <v>702.90534208059955</v>
      </c>
      <c r="AT94" s="37">
        <f t="shared" si="11"/>
        <v>1.0670000000000004</v>
      </c>
      <c r="AV94" s="38">
        <f t="shared" si="9"/>
        <v>1102.9411764705876</v>
      </c>
      <c r="AW94" s="37">
        <f t="shared" si="12"/>
        <v>1.0880000000000005</v>
      </c>
    </row>
    <row r="95" spans="1:49" x14ac:dyDescent="0.2">
      <c r="A95" s="36">
        <v>52</v>
      </c>
      <c r="B95" s="36">
        <v>600</v>
      </c>
      <c r="C95" s="41">
        <v>2.0129999999999999E-2</v>
      </c>
      <c r="D95" s="39">
        <v>0.77</v>
      </c>
      <c r="E95" s="41">
        <v>2.0129999999999999E-2</v>
      </c>
      <c r="H95" s="41">
        <f t="shared" si="0"/>
        <v>2.0129999999999999E-2</v>
      </c>
      <c r="J95" s="41">
        <v>0.45069999999999999</v>
      </c>
      <c r="K95" s="41">
        <v>1.6237999999999999</v>
      </c>
      <c r="L95" s="36">
        <v>310</v>
      </c>
      <c r="M95" s="49">
        <v>52</v>
      </c>
      <c r="Z95" s="110"/>
      <c r="AA95" s="154" t="str">
        <f>CONCATENATE(Z96," sat liq")</f>
        <v>900 psia sat liq</v>
      </c>
      <c r="AB95" s="36">
        <f>AB96</f>
        <v>532.1</v>
      </c>
      <c r="AC95" s="39">
        <f>INDEX($AG$44:$AG$114,MATCH(AA96,$AE$44:$AE$114,0))</f>
        <v>0.72770000000000001</v>
      </c>
      <c r="AE95" s="36">
        <v>600</v>
      </c>
      <c r="AF95" s="4">
        <v>486.33</v>
      </c>
      <c r="AG95" s="39">
        <v>0.67230000000000001</v>
      </c>
      <c r="AO95" s="45">
        <v>45</v>
      </c>
      <c r="AP95" s="38">
        <f t="shared" si="7"/>
        <v>418.99441340782113</v>
      </c>
      <c r="AQ95" s="37">
        <f t="shared" si="10"/>
        <v>1.0740000000000003</v>
      </c>
      <c r="AS95" s="38">
        <f t="shared" si="8"/>
        <v>690.60773480662965</v>
      </c>
      <c r="AT95" s="37">
        <f t="shared" si="11"/>
        <v>1.0860000000000003</v>
      </c>
      <c r="AV95" s="38">
        <f t="shared" si="9"/>
        <v>1086.9565217391298</v>
      </c>
      <c r="AW95" s="37">
        <f t="shared" si="12"/>
        <v>1.1040000000000005</v>
      </c>
    </row>
    <row r="96" spans="1:49" x14ac:dyDescent="0.2">
      <c r="A96" s="36">
        <v>53</v>
      </c>
      <c r="B96" s="36">
        <v>700</v>
      </c>
      <c r="C96" s="41">
        <v>2.051E-2</v>
      </c>
      <c r="D96" s="39">
        <v>0.65600000000000003</v>
      </c>
      <c r="E96" s="41">
        <v>2.051E-2</v>
      </c>
      <c r="H96" s="41">
        <f t="shared" si="0"/>
        <v>2.051E-2</v>
      </c>
      <c r="J96" s="41">
        <v>0.46400000000000002</v>
      </c>
      <c r="K96" s="41">
        <v>1.6123000000000001</v>
      </c>
      <c r="L96" s="36">
        <v>320</v>
      </c>
      <c r="M96" s="49">
        <v>53</v>
      </c>
      <c r="Z96" s="71" t="s">
        <v>208</v>
      </c>
      <c r="AA96" s="17">
        <v>900</v>
      </c>
      <c r="AB96" s="26">
        <v>532.1</v>
      </c>
      <c r="AC96" s="29">
        <v>1.4027000000000001</v>
      </c>
      <c r="AE96" s="36">
        <v>700</v>
      </c>
      <c r="AF96" s="4">
        <v>503.23</v>
      </c>
      <c r="AG96" s="39">
        <v>0.69269999999999998</v>
      </c>
      <c r="AO96" s="45">
        <v>46</v>
      </c>
      <c r="AP96" s="38">
        <f t="shared" si="7"/>
        <v>410.95890410958896</v>
      </c>
      <c r="AQ96" s="37">
        <f t="shared" si="10"/>
        <v>1.0950000000000002</v>
      </c>
      <c r="AS96" s="38">
        <f t="shared" si="8"/>
        <v>678.73303167420806</v>
      </c>
      <c r="AT96" s="37">
        <f t="shared" si="11"/>
        <v>1.1050000000000002</v>
      </c>
      <c r="AV96" s="38">
        <f t="shared" si="9"/>
        <v>1071.4285714285709</v>
      </c>
      <c r="AW96" s="37">
        <f t="shared" si="12"/>
        <v>1.1200000000000006</v>
      </c>
    </row>
    <row r="97" spans="1:49" x14ac:dyDescent="0.2">
      <c r="A97" s="36">
        <v>54</v>
      </c>
      <c r="B97" s="36">
        <v>800</v>
      </c>
      <c r="C97" s="41">
        <v>2.087E-2</v>
      </c>
      <c r="D97" s="39">
        <v>0.56899999999999995</v>
      </c>
      <c r="E97" s="41">
        <v>2.087E-2</v>
      </c>
      <c r="H97" s="41">
        <f t="shared" si="0"/>
        <v>2.087E-2</v>
      </c>
      <c r="J97" s="41">
        <v>0.47720000000000001</v>
      </c>
      <c r="K97" s="41">
        <v>1.601</v>
      </c>
      <c r="L97" s="36">
        <v>330</v>
      </c>
      <c r="M97" s="49">
        <v>54</v>
      </c>
      <c r="Z97" s="71" t="s">
        <v>80</v>
      </c>
      <c r="AA97" s="17">
        <v>900</v>
      </c>
      <c r="AB97" s="26">
        <v>550</v>
      </c>
      <c r="AC97" s="29">
        <v>1.4218999999999999</v>
      </c>
      <c r="AE97" s="36">
        <v>800</v>
      </c>
      <c r="AF97" s="4">
        <v>518.36</v>
      </c>
      <c r="AG97" s="39">
        <v>0.71099999999999997</v>
      </c>
      <c r="AO97" s="45">
        <v>47</v>
      </c>
      <c r="AP97" s="38">
        <f t="shared" si="7"/>
        <v>403.22580645161287</v>
      </c>
      <c r="AQ97" s="37">
        <f t="shared" si="10"/>
        <v>1.1160000000000001</v>
      </c>
      <c r="AS97" s="38">
        <f t="shared" si="8"/>
        <v>667.25978647686827</v>
      </c>
      <c r="AT97" s="37">
        <f t="shared" si="11"/>
        <v>1.1240000000000001</v>
      </c>
      <c r="AV97" s="38">
        <f t="shared" si="9"/>
        <v>1056.3380281690136</v>
      </c>
      <c r="AW97" s="37">
        <f t="shared" si="12"/>
        <v>1.1360000000000006</v>
      </c>
    </row>
    <row r="98" spans="1:49" x14ac:dyDescent="0.2">
      <c r="A98" s="36">
        <v>55</v>
      </c>
      <c r="B98" s="36">
        <v>900</v>
      </c>
      <c r="C98" s="41">
        <v>2.1229999999999999E-2</v>
      </c>
      <c r="D98" s="39">
        <v>0.501</v>
      </c>
      <c r="E98" s="41">
        <v>2.1229999999999999E-2</v>
      </c>
      <c r="H98" s="41">
        <f t="shared" si="0"/>
        <v>2.1229999999999999E-2</v>
      </c>
      <c r="J98" s="41">
        <v>0.49030000000000001</v>
      </c>
      <c r="K98" s="41">
        <v>1.5901000000000001</v>
      </c>
      <c r="L98" s="36">
        <v>340</v>
      </c>
      <c r="M98" s="49">
        <v>55</v>
      </c>
      <c r="Z98" s="71" t="s">
        <v>80</v>
      </c>
      <c r="AA98" s="17">
        <v>900</v>
      </c>
      <c r="AB98" s="26">
        <v>600</v>
      </c>
      <c r="AC98" s="29">
        <v>1.4652000000000001</v>
      </c>
      <c r="AE98" s="36">
        <v>900</v>
      </c>
      <c r="AF98" s="4">
        <v>532.12</v>
      </c>
      <c r="AG98" s="39">
        <v>0.72770000000000001</v>
      </c>
      <c r="AO98" s="45">
        <v>48</v>
      </c>
      <c r="AP98" s="38">
        <f t="shared" si="7"/>
        <v>395.77836411609496</v>
      </c>
      <c r="AQ98" s="37">
        <f t="shared" si="10"/>
        <v>1.137</v>
      </c>
      <c r="AS98" s="38">
        <f t="shared" si="8"/>
        <v>656.16797900262463</v>
      </c>
      <c r="AT98" s="37">
        <f t="shared" si="11"/>
        <v>1.143</v>
      </c>
      <c r="AV98" s="38">
        <f t="shared" si="9"/>
        <v>1041.6666666666661</v>
      </c>
      <c r="AW98" s="37">
        <f t="shared" si="12"/>
        <v>1.1520000000000006</v>
      </c>
    </row>
    <row r="99" spans="1:49" x14ac:dyDescent="0.2">
      <c r="A99" s="36">
        <v>56</v>
      </c>
      <c r="B99" s="36">
        <v>1000</v>
      </c>
      <c r="C99" s="41">
        <v>2.1590000000000002E-2</v>
      </c>
      <c r="D99" s="39">
        <v>0.44600000000000001</v>
      </c>
      <c r="E99" s="41">
        <v>2.1590000000000002E-2</v>
      </c>
      <c r="H99" s="41">
        <f t="shared" si="0"/>
        <v>2.1590000000000002E-2</v>
      </c>
      <c r="J99" s="41">
        <v>0.50329999999999997</v>
      </c>
      <c r="K99" s="41">
        <v>1.5792999999999999</v>
      </c>
      <c r="L99" s="36">
        <v>350</v>
      </c>
      <c r="M99" s="49">
        <v>56</v>
      </c>
      <c r="Z99" s="71" t="s">
        <v>80</v>
      </c>
      <c r="AA99" s="17">
        <v>900</v>
      </c>
      <c r="AB99" s="26">
        <v>650</v>
      </c>
      <c r="AC99" s="29">
        <v>1.4999</v>
      </c>
      <c r="AE99" s="36">
        <v>1000</v>
      </c>
      <c r="AF99" s="4">
        <v>544.75</v>
      </c>
      <c r="AG99" s="39">
        <v>0.74319999999999997</v>
      </c>
      <c r="AO99" s="45">
        <v>49</v>
      </c>
      <c r="AP99" s="38">
        <f t="shared" si="7"/>
        <v>388.6010362694301</v>
      </c>
      <c r="AQ99" s="37">
        <f t="shared" si="10"/>
        <v>1.1579999999999999</v>
      </c>
      <c r="AS99" s="38">
        <f t="shared" si="8"/>
        <v>645.43889845094668</v>
      </c>
      <c r="AT99" s="37">
        <f t="shared" si="11"/>
        <v>1.1619999999999999</v>
      </c>
      <c r="AV99" s="38">
        <f t="shared" si="9"/>
        <v>1027.3972602739721</v>
      </c>
      <c r="AW99" s="37">
        <f t="shared" si="12"/>
        <v>1.1680000000000006</v>
      </c>
    </row>
    <row r="100" spans="1:49" x14ac:dyDescent="0.2">
      <c r="A100" s="36">
        <v>57</v>
      </c>
      <c r="B100" s="36">
        <v>1100</v>
      </c>
      <c r="C100" s="41">
        <v>2.1950000000000001E-2</v>
      </c>
      <c r="D100" s="39">
        <v>0.40100000000000002</v>
      </c>
      <c r="E100" s="41">
        <v>2.1950000000000001E-2</v>
      </c>
      <c r="H100" s="41">
        <f t="shared" si="0"/>
        <v>2.1950000000000001E-2</v>
      </c>
      <c r="J100" s="41">
        <v>0.51619999999999999</v>
      </c>
      <c r="K100" s="41">
        <v>1.5688</v>
      </c>
      <c r="L100" s="36">
        <v>360</v>
      </c>
      <c r="M100" s="49">
        <v>57</v>
      </c>
      <c r="Z100" s="71" t="s">
        <v>80</v>
      </c>
      <c r="AA100" s="17">
        <v>900</v>
      </c>
      <c r="AB100" s="26">
        <v>700</v>
      </c>
      <c r="AC100" s="29">
        <v>1.5297000000000001</v>
      </c>
      <c r="AE100" s="36">
        <v>1100</v>
      </c>
      <c r="AF100" s="4">
        <v>556.45000000000005</v>
      </c>
      <c r="AG100" s="39">
        <v>0.75760000000000005</v>
      </c>
      <c r="AO100" s="45">
        <v>50</v>
      </c>
      <c r="AP100" s="38">
        <f t="shared" si="7"/>
        <v>381.67938931297715</v>
      </c>
      <c r="AQ100" s="37">
        <f t="shared" si="10"/>
        <v>1.1789999999999998</v>
      </c>
      <c r="AS100" s="38">
        <f t="shared" si="8"/>
        <v>635.05503810330242</v>
      </c>
      <c r="AT100" s="37">
        <f t="shared" si="11"/>
        <v>1.1809999999999998</v>
      </c>
      <c r="AV100" s="38">
        <f t="shared" si="9"/>
        <v>1013.513513513513</v>
      </c>
      <c r="AW100" s="37">
        <f t="shared" si="12"/>
        <v>1.1840000000000006</v>
      </c>
    </row>
    <row r="101" spans="1:49" x14ac:dyDescent="0.2">
      <c r="A101" s="36">
        <v>58</v>
      </c>
      <c r="B101" s="36">
        <v>1200</v>
      </c>
      <c r="C101" s="41">
        <v>2.232E-2</v>
      </c>
      <c r="D101" s="39">
        <v>0.36199999999999999</v>
      </c>
      <c r="E101" s="41">
        <v>2.232E-2</v>
      </c>
      <c r="H101" s="41">
        <f t="shared" si="0"/>
        <v>2.232E-2</v>
      </c>
      <c r="J101" s="41">
        <v>0.52890000000000004</v>
      </c>
      <c r="K101" s="41">
        <v>1.5585</v>
      </c>
      <c r="L101" s="36">
        <v>370</v>
      </c>
      <c r="M101" s="49">
        <v>58</v>
      </c>
      <c r="Z101" s="71" t="s">
        <v>80</v>
      </c>
      <c r="AA101" s="17">
        <v>900</v>
      </c>
      <c r="AB101" s="26">
        <v>800</v>
      </c>
      <c r="AC101" s="29">
        <v>1.581</v>
      </c>
      <c r="AE101" s="36">
        <v>1200</v>
      </c>
      <c r="AF101" s="4">
        <v>567.37</v>
      </c>
      <c r="AG101" s="39">
        <v>0.7712</v>
      </c>
      <c r="AO101" s="45">
        <v>51</v>
      </c>
      <c r="AP101" s="38">
        <f t="shared" si="7"/>
        <v>375.00000000000006</v>
      </c>
      <c r="AQ101" s="37">
        <f t="shared" si="10"/>
        <v>1.1999999999999997</v>
      </c>
      <c r="AS101" s="38">
        <f t="shared" si="8"/>
        <v>625.00000000000011</v>
      </c>
      <c r="AT101" s="37">
        <f t="shared" si="11"/>
        <v>1.1999999999999997</v>
      </c>
      <c r="AV101" s="38">
        <f t="shared" si="9"/>
        <v>999.99999999999943</v>
      </c>
      <c r="AW101" s="37">
        <f t="shared" si="12"/>
        <v>1.2000000000000006</v>
      </c>
    </row>
    <row r="102" spans="1:49" x14ac:dyDescent="0.2">
      <c r="A102" s="36">
        <v>59</v>
      </c>
      <c r="B102" s="36">
        <v>1300</v>
      </c>
      <c r="C102" s="41">
        <v>2.2689999999999998E-2</v>
      </c>
      <c r="D102" s="39">
        <v>0.33</v>
      </c>
      <c r="E102" s="41">
        <v>2.2689999999999998E-2</v>
      </c>
      <c r="H102" s="41">
        <f t="shared" si="0"/>
        <v>2.2689999999999998E-2</v>
      </c>
      <c r="J102" s="41">
        <v>0.54159999999999997</v>
      </c>
      <c r="K102" s="41">
        <v>1.5483</v>
      </c>
      <c r="L102" s="36">
        <v>380</v>
      </c>
      <c r="M102" s="49">
        <v>59</v>
      </c>
      <c r="Z102" s="71" t="s">
        <v>80</v>
      </c>
      <c r="AA102" s="17">
        <v>900</v>
      </c>
      <c r="AB102" s="26">
        <v>900</v>
      </c>
      <c r="AC102" s="29">
        <v>1.6256999999999999</v>
      </c>
      <c r="AE102" s="36">
        <v>1300</v>
      </c>
      <c r="AF102" s="4">
        <v>577.6</v>
      </c>
      <c r="AG102" s="39">
        <v>0.78410000000000002</v>
      </c>
    </row>
    <row r="103" spans="1:49" x14ac:dyDescent="0.2">
      <c r="A103" s="36">
        <v>60</v>
      </c>
      <c r="B103" s="36">
        <v>1400</v>
      </c>
      <c r="C103" s="41">
        <v>2.307E-2</v>
      </c>
      <c r="D103" s="39">
        <v>0.30199999999999999</v>
      </c>
      <c r="E103" s="41">
        <v>2.307E-2</v>
      </c>
      <c r="H103" s="41">
        <f t="shared" si="0"/>
        <v>2.307E-2</v>
      </c>
      <c r="J103" s="41">
        <v>0.55420000000000003</v>
      </c>
      <c r="K103" s="41">
        <v>1.5383</v>
      </c>
      <c r="L103" s="36">
        <v>390</v>
      </c>
      <c r="M103" s="49">
        <v>60</v>
      </c>
      <c r="Z103" s="71" t="s">
        <v>80</v>
      </c>
      <c r="AA103" s="17">
        <v>900</v>
      </c>
      <c r="AB103" s="26">
        <v>1000</v>
      </c>
      <c r="AC103" s="29">
        <v>1.6661999999999999</v>
      </c>
      <c r="AE103" s="36">
        <v>1400</v>
      </c>
      <c r="AF103" s="4">
        <v>587.25</v>
      </c>
      <c r="AG103" s="39">
        <v>0.7964</v>
      </c>
    </row>
    <row r="104" spans="1:49" x14ac:dyDescent="0.2">
      <c r="A104" s="36">
        <v>61</v>
      </c>
      <c r="B104" s="36">
        <v>1500</v>
      </c>
      <c r="C104" s="41">
        <v>2.3460000000000002E-2</v>
      </c>
      <c r="D104" s="39">
        <v>0.27700000000000002</v>
      </c>
      <c r="E104" s="41">
        <v>2.3460000000000002E-2</v>
      </c>
      <c r="H104" s="41">
        <f t="shared" si="0"/>
        <v>2.3460000000000002E-2</v>
      </c>
      <c r="J104" s="41">
        <v>0.56669999999999998</v>
      </c>
      <c r="K104" s="41">
        <v>1.5284</v>
      </c>
      <c r="L104" s="36">
        <v>400</v>
      </c>
      <c r="M104" s="49">
        <v>61</v>
      </c>
      <c r="Z104" s="71" t="s">
        <v>80</v>
      </c>
      <c r="AA104" s="17">
        <v>900</v>
      </c>
      <c r="AB104" s="26">
        <v>1100</v>
      </c>
      <c r="AC104" s="29">
        <v>1.7036</v>
      </c>
      <c r="AE104" s="36">
        <v>1500</v>
      </c>
      <c r="AF104" s="4">
        <v>596.39</v>
      </c>
      <c r="AG104" s="39">
        <v>0.80820000000000003</v>
      </c>
    </row>
    <row r="105" spans="1:49" x14ac:dyDescent="0.2">
      <c r="A105" s="36">
        <v>62</v>
      </c>
      <c r="B105" s="36">
        <v>1600</v>
      </c>
      <c r="C105" s="41">
        <v>2.3859999999999999E-2</v>
      </c>
      <c r="D105" s="39">
        <v>0.255</v>
      </c>
      <c r="E105" s="41">
        <v>2.3859999999999999E-2</v>
      </c>
      <c r="H105" s="41">
        <f t="shared" si="0"/>
        <v>2.3859999999999999E-2</v>
      </c>
      <c r="J105" s="41">
        <v>0.57920000000000005</v>
      </c>
      <c r="K105" s="41">
        <v>1.5186999999999999</v>
      </c>
      <c r="L105" s="36">
        <v>410</v>
      </c>
      <c r="M105" s="49">
        <v>62</v>
      </c>
      <c r="Z105" s="71" t="s">
        <v>80</v>
      </c>
      <c r="AA105" s="17">
        <v>900</v>
      </c>
      <c r="AB105" s="26">
        <v>1200</v>
      </c>
      <c r="AC105" s="29">
        <v>1.7385999999999999</v>
      </c>
      <c r="AE105" s="36">
        <v>1600</v>
      </c>
      <c r="AF105" s="4">
        <v>605.05999999999995</v>
      </c>
      <c r="AG105" s="39">
        <v>0.8196</v>
      </c>
    </row>
    <row r="106" spans="1:49" x14ac:dyDescent="0.2">
      <c r="A106" s="36">
        <v>63</v>
      </c>
      <c r="B106" s="36">
        <v>1700</v>
      </c>
      <c r="C106" s="41">
        <v>2.4279999999999999E-2</v>
      </c>
      <c r="D106" s="39">
        <v>0.23599999999999999</v>
      </c>
      <c r="E106" s="41">
        <v>2.4279999999999999E-2</v>
      </c>
      <c r="H106" s="41">
        <f t="shared" si="0"/>
        <v>2.4279999999999999E-2</v>
      </c>
      <c r="J106" s="41">
        <v>0.59150000000000003</v>
      </c>
      <c r="K106" s="41">
        <v>1.5091000000000001</v>
      </c>
      <c r="L106" s="36">
        <v>420</v>
      </c>
      <c r="M106" s="49">
        <v>63</v>
      </c>
      <c r="Z106" s="71" t="s">
        <v>80</v>
      </c>
      <c r="AA106" s="17">
        <v>900</v>
      </c>
      <c r="AB106" s="26">
        <v>1300</v>
      </c>
      <c r="AC106" s="29">
        <v>1.7717000000000001</v>
      </c>
      <c r="AE106" s="36">
        <v>1700</v>
      </c>
      <c r="AF106" s="4">
        <v>613.32000000000005</v>
      </c>
      <c r="AG106" s="39">
        <v>0.83069999999999999</v>
      </c>
    </row>
    <row r="107" spans="1:49" x14ac:dyDescent="0.2">
      <c r="A107" s="36">
        <v>64</v>
      </c>
      <c r="B107" s="36">
        <v>1800</v>
      </c>
      <c r="C107" s="41">
        <v>2.4719999999999999E-2</v>
      </c>
      <c r="D107" s="39">
        <v>0.218</v>
      </c>
      <c r="E107" s="41">
        <v>2.4719999999999999E-2</v>
      </c>
      <c r="H107" s="41">
        <f t="shared" si="0"/>
        <v>2.4719999999999999E-2</v>
      </c>
      <c r="J107" s="41">
        <v>0.6038</v>
      </c>
      <c r="K107" s="41">
        <v>1.4995000000000001</v>
      </c>
      <c r="L107" s="36">
        <v>430</v>
      </c>
      <c r="M107" s="49">
        <v>64</v>
      </c>
      <c r="Z107" s="71" t="s">
        <v>80</v>
      </c>
      <c r="AA107" s="17">
        <v>900</v>
      </c>
      <c r="AB107" s="26">
        <v>1400</v>
      </c>
      <c r="AC107" s="29">
        <v>1.8030999999999999</v>
      </c>
      <c r="AE107" s="36">
        <v>1800</v>
      </c>
      <c r="AF107" s="4">
        <v>621.21</v>
      </c>
      <c r="AG107" s="39">
        <v>0.84140000000000004</v>
      </c>
    </row>
    <row r="108" spans="1:49" x14ac:dyDescent="0.2">
      <c r="A108" s="36">
        <v>65</v>
      </c>
      <c r="B108" s="36">
        <v>1900</v>
      </c>
      <c r="C108" s="41">
        <v>2.5170000000000001E-2</v>
      </c>
      <c r="D108" s="39">
        <v>0.20300000000000001</v>
      </c>
      <c r="E108" s="41">
        <v>2.5170000000000001E-2</v>
      </c>
      <c r="H108" s="41">
        <f t="shared" si="0"/>
        <v>2.5170000000000001E-2</v>
      </c>
      <c r="J108" s="41">
        <v>0.61609999999999998</v>
      </c>
      <c r="K108" s="41">
        <v>1.49</v>
      </c>
      <c r="L108" s="36">
        <v>440</v>
      </c>
      <c r="M108" s="49">
        <v>65</v>
      </c>
      <c r="Z108" s="110"/>
      <c r="AA108" s="154" t="str">
        <f>CONCATENATE(Z109," sat liq")</f>
        <v>2000 psia sat liq</v>
      </c>
      <c r="AB108" s="36">
        <f>AB109</f>
        <v>636</v>
      </c>
      <c r="AC108" s="39">
        <f>INDEX($AG$44:$AG$114,MATCH(AA109,$AE$44:$AE$114,0))</f>
        <v>0.86229999999999996</v>
      </c>
      <c r="AE108" s="36">
        <v>1900</v>
      </c>
      <c r="AF108" s="4">
        <v>628.76</v>
      </c>
      <c r="AG108" s="39">
        <v>0.85189999999999999</v>
      </c>
    </row>
    <row r="109" spans="1:49" x14ac:dyDescent="0.2">
      <c r="A109" s="36">
        <v>66</v>
      </c>
      <c r="B109" s="36">
        <v>2000</v>
      </c>
      <c r="C109" s="41">
        <v>2.5649999999999999E-2</v>
      </c>
      <c r="D109" s="39">
        <v>0.188</v>
      </c>
      <c r="E109" s="41">
        <v>2.5649999999999999E-2</v>
      </c>
      <c r="H109" s="41">
        <f t="shared" ref="H109:H172" si="13">IF(E109&gt;$G$41,NA(),E109)</f>
        <v>2.5649999999999999E-2</v>
      </c>
      <c r="J109" s="41">
        <v>0.62819999999999998</v>
      </c>
      <c r="K109" s="41">
        <v>1.4805999999999999</v>
      </c>
      <c r="L109" s="36">
        <v>450</v>
      </c>
      <c r="M109" s="49">
        <v>66</v>
      </c>
      <c r="Z109" s="71" t="s">
        <v>209</v>
      </c>
      <c r="AA109" s="17">
        <v>2000</v>
      </c>
      <c r="AB109" s="26">
        <v>636</v>
      </c>
      <c r="AC109" s="29">
        <v>1.2861</v>
      </c>
      <c r="AE109" s="36">
        <v>2000</v>
      </c>
      <c r="AF109" s="4">
        <v>636</v>
      </c>
      <c r="AG109" s="39">
        <v>0.86229999999999996</v>
      </c>
    </row>
    <row r="110" spans="1:49" x14ac:dyDescent="0.2">
      <c r="A110" s="36">
        <v>67</v>
      </c>
      <c r="B110" s="36">
        <v>2250</v>
      </c>
      <c r="C110" s="41">
        <v>2.6980000000000001E-2</v>
      </c>
      <c r="D110" s="39">
        <v>0.157</v>
      </c>
      <c r="E110" s="41">
        <v>2.6980000000000001E-2</v>
      </c>
      <c r="H110" s="41">
        <f t="shared" si="13"/>
        <v>2.6980000000000001E-2</v>
      </c>
      <c r="J110" s="41">
        <v>0.64039999999999997</v>
      </c>
      <c r="K110" s="41">
        <v>1.4712000000000001</v>
      </c>
      <c r="L110" s="36">
        <v>460</v>
      </c>
      <c r="M110" s="49">
        <v>67</v>
      </c>
      <c r="Z110" s="71" t="s">
        <v>80</v>
      </c>
      <c r="AA110" s="17">
        <v>2000</v>
      </c>
      <c r="AB110" s="26">
        <v>650</v>
      </c>
      <c r="AC110" s="29">
        <v>1.3141</v>
      </c>
      <c r="AE110" s="36">
        <v>2250</v>
      </c>
      <c r="AF110" s="4">
        <v>652.9</v>
      </c>
      <c r="AG110" s="39">
        <v>0.88759999999999994</v>
      </c>
    </row>
    <row r="111" spans="1:49" x14ac:dyDescent="0.2">
      <c r="A111" s="36">
        <v>68</v>
      </c>
      <c r="B111" s="36">
        <v>2500</v>
      </c>
      <c r="C111" s="41">
        <v>2.86E-2</v>
      </c>
      <c r="D111" s="39">
        <v>0.13100000000000001</v>
      </c>
      <c r="E111" s="41">
        <v>2.86E-2</v>
      </c>
      <c r="H111" s="41">
        <f t="shared" si="13"/>
        <v>2.86E-2</v>
      </c>
      <c r="J111" s="41">
        <v>0.65249999999999997</v>
      </c>
      <c r="K111" s="41">
        <v>1.4618</v>
      </c>
      <c r="L111" s="36">
        <v>470</v>
      </c>
      <c r="M111" s="49">
        <v>68</v>
      </c>
      <c r="Z111" s="71" t="s">
        <v>80</v>
      </c>
      <c r="AA111" s="17">
        <v>2000</v>
      </c>
      <c r="AB111" s="26">
        <v>700</v>
      </c>
      <c r="AC111" s="29">
        <v>1.3782000000000001</v>
      </c>
      <c r="AE111" s="36">
        <v>2500</v>
      </c>
      <c r="AF111" s="4">
        <v>668.31</v>
      </c>
      <c r="AG111" s="39">
        <v>0.91310000000000002</v>
      </c>
    </row>
    <row r="112" spans="1:49" x14ac:dyDescent="0.2">
      <c r="A112" s="36">
        <v>69</v>
      </c>
      <c r="B112" s="36">
        <v>2750</v>
      </c>
      <c r="C112" s="41">
        <v>3.0769999999999999E-2</v>
      </c>
      <c r="D112" s="39">
        <v>0.107</v>
      </c>
      <c r="E112" s="41">
        <v>3.0769999999999999E-2</v>
      </c>
      <c r="H112" s="41">
        <f t="shared" si="13"/>
        <v>3.0769999999999999E-2</v>
      </c>
      <c r="J112" s="41">
        <v>0.66459999999999997</v>
      </c>
      <c r="K112" s="41">
        <v>1.4523999999999999</v>
      </c>
      <c r="L112" s="36">
        <v>480</v>
      </c>
      <c r="M112" s="49">
        <v>69</v>
      </c>
      <c r="Z112" s="71" t="s">
        <v>80</v>
      </c>
      <c r="AA112" s="17">
        <v>2000</v>
      </c>
      <c r="AB112" s="26">
        <v>750</v>
      </c>
      <c r="AC112" s="29">
        <v>1.4216</v>
      </c>
      <c r="AE112" s="36">
        <v>2750</v>
      </c>
      <c r="AF112" s="4">
        <v>682.46</v>
      </c>
      <c r="AG112" s="39">
        <v>0.94010000000000005</v>
      </c>
    </row>
    <row r="113" spans="1:33" x14ac:dyDescent="0.2">
      <c r="A113" s="36">
        <v>70</v>
      </c>
      <c r="B113" s="36">
        <v>3000</v>
      </c>
      <c r="C113" s="41">
        <v>3.431E-2</v>
      </c>
      <c r="D113" s="39">
        <v>8.4000000000000005E-2</v>
      </c>
      <c r="E113" s="41">
        <v>3.431E-2</v>
      </c>
      <c r="H113" s="41">
        <f t="shared" si="13"/>
        <v>3.431E-2</v>
      </c>
      <c r="J113" s="41">
        <v>0.67669999999999997</v>
      </c>
      <c r="K113" s="41">
        <v>1.4430000000000001</v>
      </c>
      <c r="L113" s="36">
        <v>490</v>
      </c>
      <c r="M113" s="49">
        <v>70</v>
      </c>
      <c r="Z113" s="71" t="s">
        <v>80</v>
      </c>
      <c r="AA113" s="17">
        <v>2000</v>
      </c>
      <c r="AB113" s="26">
        <v>800</v>
      </c>
      <c r="AC113" s="29">
        <v>1.4561999999999999</v>
      </c>
      <c r="AE113" s="36">
        <v>3000</v>
      </c>
      <c r="AF113" s="4">
        <v>695.52</v>
      </c>
      <c r="AG113" s="39">
        <v>0.97319999999999995</v>
      </c>
    </row>
    <row r="114" spans="1:33" x14ac:dyDescent="0.2">
      <c r="A114" s="36">
        <v>71</v>
      </c>
      <c r="B114" s="40">
        <v>3203.6</v>
      </c>
      <c r="C114" s="95">
        <v>5.0529999999999999E-2</v>
      </c>
      <c r="D114" s="44">
        <v>5.0500000000000003E-2</v>
      </c>
      <c r="E114" s="95">
        <v>5.0529999999999999E-2</v>
      </c>
      <c r="F114" s="94" t="s">
        <v>121</v>
      </c>
      <c r="H114" s="41">
        <f t="shared" si="13"/>
        <v>5.0529999999999999E-2</v>
      </c>
      <c r="J114" s="41">
        <v>0.68879999999999997</v>
      </c>
      <c r="K114" s="41">
        <v>1.4335</v>
      </c>
      <c r="L114" s="36">
        <v>500</v>
      </c>
      <c r="M114" s="49">
        <v>71</v>
      </c>
      <c r="Z114" s="71" t="s">
        <v>80</v>
      </c>
      <c r="AA114" s="17">
        <v>2000</v>
      </c>
      <c r="AB114" s="26">
        <v>900</v>
      </c>
      <c r="AC114" s="29">
        <v>1.5125999999999999</v>
      </c>
      <c r="AE114" s="36">
        <v>3203.6</v>
      </c>
      <c r="AF114" s="4">
        <v>705.44</v>
      </c>
      <c r="AG114" s="39">
        <v>1.0580000000000001</v>
      </c>
    </row>
    <row r="115" spans="1:33" x14ac:dyDescent="0.2">
      <c r="A115" s="36">
        <v>70</v>
      </c>
      <c r="B115" s="36">
        <v>3000</v>
      </c>
      <c r="E115" s="41">
        <v>8.4000000000000005E-2</v>
      </c>
      <c r="H115" s="41">
        <f t="shared" si="13"/>
        <v>8.4000000000000005E-2</v>
      </c>
      <c r="J115" s="41">
        <v>0.71299999999999997</v>
      </c>
      <c r="K115" s="41">
        <v>1.4145000000000001</v>
      </c>
      <c r="L115" s="36">
        <v>520</v>
      </c>
      <c r="M115" s="49">
        <v>72</v>
      </c>
      <c r="Z115" s="71" t="s">
        <v>80</v>
      </c>
      <c r="AA115" s="17">
        <v>2000</v>
      </c>
      <c r="AB115" s="26">
        <v>1000</v>
      </c>
      <c r="AC115" s="29">
        <v>1.5598000000000001</v>
      </c>
    </row>
    <row r="116" spans="1:33" x14ac:dyDescent="0.2">
      <c r="A116" s="36">
        <v>69</v>
      </c>
      <c r="B116" s="36">
        <v>2750</v>
      </c>
      <c r="E116" s="41">
        <v>0.107</v>
      </c>
      <c r="H116" s="41">
        <f t="shared" si="13"/>
        <v>0.107</v>
      </c>
      <c r="J116" s="41">
        <v>0.73740000000000006</v>
      </c>
      <c r="K116" s="41">
        <v>1.395</v>
      </c>
      <c r="L116" s="36">
        <v>540</v>
      </c>
      <c r="M116" s="49">
        <v>73</v>
      </c>
      <c r="Z116" s="71" t="s">
        <v>80</v>
      </c>
      <c r="AA116" s="17">
        <v>2000</v>
      </c>
      <c r="AB116" s="26">
        <v>1100</v>
      </c>
      <c r="AC116" s="29">
        <v>1.6016999999999999</v>
      </c>
    </row>
    <row r="117" spans="1:33" x14ac:dyDescent="0.2">
      <c r="A117" s="36">
        <v>68</v>
      </c>
      <c r="B117" s="36">
        <v>2500</v>
      </c>
      <c r="E117" s="41">
        <v>0.13100000000000001</v>
      </c>
      <c r="H117" s="41">
        <f t="shared" si="13"/>
        <v>0.13100000000000001</v>
      </c>
      <c r="J117" s="41">
        <v>0.76200000000000001</v>
      </c>
      <c r="K117" s="41">
        <v>1.3749</v>
      </c>
      <c r="L117" s="36">
        <v>560</v>
      </c>
      <c r="M117" s="49">
        <v>74</v>
      </c>
      <c r="Z117" s="71" t="s">
        <v>80</v>
      </c>
      <c r="AA117" s="17">
        <v>2000</v>
      </c>
      <c r="AB117" s="26">
        <v>1200</v>
      </c>
      <c r="AC117" s="29">
        <v>1.6397999999999999</v>
      </c>
    </row>
    <row r="118" spans="1:33" x14ac:dyDescent="0.2">
      <c r="A118" s="36">
        <v>67</v>
      </c>
      <c r="B118" s="36">
        <v>2250</v>
      </c>
      <c r="E118" s="41">
        <v>0.157</v>
      </c>
      <c r="H118" s="41">
        <f t="shared" si="13"/>
        <v>0.157</v>
      </c>
      <c r="J118" s="41">
        <v>0.78720000000000001</v>
      </c>
      <c r="K118" s="41">
        <v>1.3540000000000001</v>
      </c>
      <c r="L118" s="36">
        <v>580</v>
      </c>
      <c r="M118" s="49">
        <v>75</v>
      </c>
      <c r="Z118" s="71" t="s">
        <v>80</v>
      </c>
      <c r="AA118" s="17">
        <v>2000</v>
      </c>
      <c r="AB118" s="26">
        <v>1300</v>
      </c>
      <c r="AC118" s="29">
        <v>1.6751</v>
      </c>
    </row>
    <row r="119" spans="1:33" x14ac:dyDescent="0.2">
      <c r="A119" s="36">
        <v>66</v>
      </c>
      <c r="B119" s="36">
        <v>2000</v>
      </c>
      <c r="E119" s="41">
        <v>0.188</v>
      </c>
      <c r="H119" s="41">
        <f t="shared" si="13"/>
        <v>0.188</v>
      </c>
      <c r="J119" s="41">
        <v>0.81299999999999994</v>
      </c>
      <c r="K119" s="41">
        <v>1.3317000000000001</v>
      </c>
      <c r="L119" s="36">
        <v>600</v>
      </c>
      <c r="M119" s="49">
        <v>76</v>
      </c>
      <c r="Z119" s="71" t="s">
        <v>80</v>
      </c>
      <c r="AA119" s="17">
        <v>2000</v>
      </c>
      <c r="AB119" s="26">
        <v>1400</v>
      </c>
      <c r="AC119" s="29">
        <v>1.7081999999999999</v>
      </c>
    </row>
    <row r="120" spans="1:33" x14ac:dyDescent="0.2">
      <c r="A120" s="36">
        <v>65</v>
      </c>
      <c r="B120" s="36">
        <v>1900</v>
      </c>
      <c r="E120" s="41">
        <v>0.20300000000000001</v>
      </c>
      <c r="H120" s="41">
        <f t="shared" si="13"/>
        <v>0.20300000000000001</v>
      </c>
      <c r="J120" s="41">
        <v>0.83979999999999999</v>
      </c>
      <c r="K120" s="41">
        <v>1.3075000000000001</v>
      </c>
      <c r="L120" s="36">
        <v>620</v>
      </c>
      <c r="M120" s="49">
        <v>77</v>
      </c>
      <c r="Z120" s="73" t="s">
        <v>80</v>
      </c>
      <c r="AA120" s="18">
        <v>2000</v>
      </c>
      <c r="AB120" s="30">
        <v>1600</v>
      </c>
      <c r="AC120" s="33">
        <v>1.7692000000000001</v>
      </c>
    </row>
    <row r="121" spans="1:33" x14ac:dyDescent="0.2">
      <c r="A121" s="36">
        <v>64</v>
      </c>
      <c r="B121" s="36">
        <v>1800</v>
      </c>
      <c r="E121" s="41">
        <v>0.218</v>
      </c>
      <c r="H121" s="41">
        <f t="shared" si="13"/>
        <v>0.218</v>
      </c>
      <c r="J121" s="41">
        <v>0.86809999999999998</v>
      </c>
      <c r="K121" s="41">
        <v>1.2803</v>
      </c>
      <c r="L121" s="36">
        <v>640</v>
      </c>
      <c r="M121" s="49">
        <v>78</v>
      </c>
    </row>
    <row r="122" spans="1:33" x14ac:dyDescent="0.2">
      <c r="A122" s="36">
        <v>63</v>
      </c>
      <c r="B122" s="36">
        <v>1700</v>
      </c>
      <c r="E122" s="41">
        <v>0.23599999999999999</v>
      </c>
      <c r="H122" s="41">
        <f t="shared" si="13"/>
        <v>0.23599999999999999</v>
      </c>
      <c r="J122" s="41">
        <v>0.89900000000000002</v>
      </c>
      <c r="K122" s="41">
        <v>1.2483</v>
      </c>
      <c r="L122" s="36">
        <v>660</v>
      </c>
      <c r="M122" s="49">
        <v>79</v>
      </c>
    </row>
    <row r="123" spans="1:33" x14ac:dyDescent="0.2">
      <c r="A123" s="36">
        <v>62</v>
      </c>
      <c r="B123" s="36">
        <v>1600</v>
      </c>
      <c r="E123" s="41">
        <v>0.255</v>
      </c>
      <c r="H123" s="41">
        <f t="shared" si="13"/>
        <v>0.255</v>
      </c>
      <c r="J123" s="41">
        <v>0.93500000000000005</v>
      </c>
      <c r="K123" s="41">
        <v>1.2068000000000001</v>
      </c>
      <c r="L123" s="36">
        <v>680</v>
      </c>
      <c r="M123" s="49">
        <v>80</v>
      </c>
    </row>
    <row r="124" spans="1:33" x14ac:dyDescent="0.2">
      <c r="A124" s="36">
        <v>61</v>
      </c>
      <c r="B124" s="36">
        <v>1500</v>
      </c>
      <c r="E124" s="41">
        <v>0.27700000000000002</v>
      </c>
      <c r="H124" s="41">
        <f t="shared" si="13"/>
        <v>0.27700000000000002</v>
      </c>
      <c r="J124" s="41">
        <v>0.99019999999999997</v>
      </c>
      <c r="K124" s="41">
        <v>1.1346000000000001</v>
      </c>
      <c r="L124" s="36">
        <v>700</v>
      </c>
      <c r="M124" s="49">
        <v>81</v>
      </c>
    </row>
    <row r="125" spans="1:33" x14ac:dyDescent="0.2">
      <c r="A125" s="36">
        <v>60</v>
      </c>
      <c r="B125" s="36">
        <v>1400</v>
      </c>
      <c r="E125" s="41">
        <v>0.30199999999999999</v>
      </c>
      <c r="H125" s="41">
        <f t="shared" si="13"/>
        <v>0.30199999999999999</v>
      </c>
      <c r="J125" s="95">
        <v>1.0580000000000001</v>
      </c>
      <c r="K125" s="95">
        <v>1.0580000000000001</v>
      </c>
      <c r="L125" s="40">
        <v>705.4</v>
      </c>
      <c r="M125" s="94" t="s">
        <v>121</v>
      </c>
    </row>
    <row r="126" spans="1:33" x14ac:dyDescent="0.2">
      <c r="A126" s="36">
        <v>59</v>
      </c>
      <c r="B126" s="36">
        <v>1300</v>
      </c>
      <c r="E126" s="41">
        <v>0.33</v>
      </c>
      <c r="H126" s="41">
        <f t="shared" si="13"/>
        <v>0.33</v>
      </c>
      <c r="K126" s="41">
        <f>INDEX($J$44:$J$124,$M126)</f>
        <v>0.99019999999999997</v>
      </c>
      <c r="L126" s="36">
        <f>INDEX($L$44:$L$124,$M126)</f>
        <v>700</v>
      </c>
      <c r="M126" s="49">
        <v>81</v>
      </c>
    </row>
    <row r="127" spans="1:33" x14ac:dyDescent="0.2">
      <c r="A127" s="36">
        <v>58</v>
      </c>
      <c r="B127" s="36">
        <v>1200</v>
      </c>
      <c r="E127" s="41">
        <v>0.36199999999999999</v>
      </c>
      <c r="H127" s="41">
        <f t="shared" si="13"/>
        <v>0.36199999999999999</v>
      </c>
      <c r="K127" s="41">
        <f t="shared" ref="K127:K190" si="14">INDEX($J$44:$J$124,$M127)</f>
        <v>0.93500000000000005</v>
      </c>
      <c r="L127" s="36">
        <f>INDEX($L$44:$L$124,M127)</f>
        <v>680</v>
      </c>
      <c r="M127" s="49">
        <v>80</v>
      </c>
      <c r="Z127" s="159"/>
      <c r="AA127" s="159"/>
      <c r="AB127" s="159"/>
      <c r="AC127" s="159"/>
    </row>
    <row r="128" spans="1:33" x14ac:dyDescent="0.2">
      <c r="A128" s="36">
        <v>57</v>
      </c>
      <c r="B128" s="36">
        <v>1100</v>
      </c>
      <c r="E128" s="41">
        <v>0.40100000000000002</v>
      </c>
      <c r="H128" s="41">
        <f t="shared" si="13"/>
        <v>0.40100000000000002</v>
      </c>
      <c r="K128" s="41">
        <f t="shared" si="14"/>
        <v>0.89900000000000002</v>
      </c>
      <c r="L128" s="36">
        <f t="shared" ref="L128:L191" si="15">INDEX($L$44:$L$124,M128)</f>
        <v>660</v>
      </c>
      <c r="M128" s="49">
        <v>79</v>
      </c>
      <c r="Z128" s="159"/>
      <c r="AA128" s="159"/>
      <c r="AB128" s="159"/>
      <c r="AC128" s="159"/>
    </row>
    <row r="129" spans="1:29" x14ac:dyDescent="0.2">
      <c r="A129" s="36">
        <v>56</v>
      </c>
      <c r="B129" s="36">
        <v>1000</v>
      </c>
      <c r="E129" s="41">
        <v>0.44600000000000001</v>
      </c>
      <c r="H129" s="41">
        <f t="shared" si="13"/>
        <v>0.44600000000000001</v>
      </c>
      <c r="K129" s="41">
        <f t="shared" si="14"/>
        <v>0.86809999999999998</v>
      </c>
      <c r="L129" s="36">
        <f t="shared" si="15"/>
        <v>640</v>
      </c>
      <c r="M129" s="49">
        <v>78</v>
      </c>
      <c r="Z129" s="159"/>
      <c r="AA129" s="159"/>
      <c r="AB129" s="159"/>
      <c r="AC129" s="159"/>
    </row>
    <row r="130" spans="1:29" x14ac:dyDescent="0.2">
      <c r="A130" s="36">
        <v>55</v>
      </c>
      <c r="B130" s="36">
        <v>900</v>
      </c>
      <c r="E130" s="41">
        <v>0.501</v>
      </c>
      <c r="H130" s="41">
        <f t="shared" si="13"/>
        <v>0.501</v>
      </c>
      <c r="K130" s="41">
        <f t="shared" si="14"/>
        <v>0.83979999999999999</v>
      </c>
      <c r="L130" s="36">
        <f t="shared" si="15"/>
        <v>620</v>
      </c>
      <c r="M130" s="49">
        <v>77</v>
      </c>
      <c r="Z130" s="159"/>
      <c r="AA130" s="159"/>
      <c r="AB130" s="159"/>
      <c r="AC130" s="159"/>
    </row>
    <row r="131" spans="1:29" x14ac:dyDescent="0.2">
      <c r="A131" s="36">
        <v>54</v>
      </c>
      <c r="B131" s="36">
        <v>800</v>
      </c>
      <c r="E131" s="41">
        <v>0.56899999999999995</v>
      </c>
      <c r="H131" s="41">
        <f t="shared" si="13"/>
        <v>0.56899999999999995</v>
      </c>
      <c r="K131" s="41">
        <f t="shared" si="14"/>
        <v>0.81299999999999994</v>
      </c>
      <c r="L131" s="36">
        <f t="shared" si="15"/>
        <v>600</v>
      </c>
      <c r="M131" s="49">
        <v>76</v>
      </c>
      <c r="Z131" s="159"/>
      <c r="AA131" s="159"/>
      <c r="AB131" s="159"/>
      <c r="AC131" s="159"/>
    </row>
    <row r="132" spans="1:29" x14ac:dyDescent="0.2">
      <c r="A132" s="36">
        <v>53</v>
      </c>
      <c r="B132" s="36">
        <v>700</v>
      </c>
      <c r="E132" s="41">
        <v>0.65600000000000003</v>
      </c>
      <c r="H132" s="41">
        <f t="shared" si="13"/>
        <v>0.65600000000000003</v>
      </c>
      <c r="K132" s="41">
        <f t="shared" si="14"/>
        <v>0.78720000000000001</v>
      </c>
      <c r="L132" s="36">
        <f t="shared" si="15"/>
        <v>580</v>
      </c>
      <c r="M132" s="49">
        <v>75</v>
      </c>
      <c r="Z132" s="159"/>
      <c r="AA132" s="159"/>
      <c r="AB132" s="159"/>
      <c r="AC132" s="159"/>
    </row>
    <row r="133" spans="1:29" x14ac:dyDescent="0.2">
      <c r="A133" s="36">
        <v>52</v>
      </c>
      <c r="B133" s="36">
        <v>600</v>
      </c>
      <c r="E133" s="41">
        <v>0.77</v>
      </c>
      <c r="H133" s="41">
        <f t="shared" si="13"/>
        <v>0.77</v>
      </c>
      <c r="K133" s="41">
        <f t="shared" si="14"/>
        <v>0.76200000000000001</v>
      </c>
      <c r="L133" s="36">
        <f t="shared" si="15"/>
        <v>560</v>
      </c>
      <c r="M133" s="49">
        <v>74</v>
      </c>
      <c r="Z133" s="159"/>
      <c r="AA133" s="159"/>
      <c r="AB133" s="159"/>
      <c r="AC133" s="159"/>
    </row>
    <row r="134" spans="1:29" x14ac:dyDescent="0.2">
      <c r="A134" s="36">
        <v>51</v>
      </c>
      <c r="B134" s="36">
        <v>550</v>
      </c>
      <c r="E134" s="41">
        <v>0.84199999999999997</v>
      </c>
      <c r="H134" s="41">
        <f t="shared" si="13"/>
        <v>0.84199999999999997</v>
      </c>
      <c r="K134" s="41">
        <f t="shared" si="14"/>
        <v>0.73740000000000006</v>
      </c>
      <c r="L134" s="36">
        <f t="shared" si="15"/>
        <v>540</v>
      </c>
      <c r="M134" s="49">
        <v>73</v>
      </c>
      <c r="Z134" s="159"/>
      <c r="AA134" s="159"/>
      <c r="AB134" s="159"/>
      <c r="AC134" s="159"/>
    </row>
    <row r="135" spans="1:29" x14ac:dyDescent="0.2">
      <c r="A135" s="36">
        <v>50</v>
      </c>
      <c r="B135" s="36">
        <v>500</v>
      </c>
      <c r="E135" s="41">
        <v>0.92800000000000005</v>
      </c>
      <c r="H135" s="41">
        <f t="shared" si="13"/>
        <v>0.92800000000000005</v>
      </c>
      <c r="K135" s="41">
        <f t="shared" si="14"/>
        <v>0.71299999999999997</v>
      </c>
      <c r="L135" s="36">
        <f t="shared" si="15"/>
        <v>520</v>
      </c>
      <c r="M135" s="49">
        <v>72</v>
      </c>
      <c r="Z135" s="159"/>
      <c r="AA135" s="159"/>
      <c r="AB135" s="159"/>
      <c r="AC135" s="159"/>
    </row>
    <row r="136" spans="1:29" x14ac:dyDescent="0.2">
      <c r="A136" s="36">
        <v>49</v>
      </c>
      <c r="B136" s="36">
        <v>450</v>
      </c>
      <c r="E136" s="41">
        <v>1.0329999999999999</v>
      </c>
      <c r="H136" s="41">
        <f t="shared" si="13"/>
        <v>1.0329999999999999</v>
      </c>
      <c r="K136" s="41">
        <f t="shared" si="14"/>
        <v>0.68879999999999997</v>
      </c>
      <c r="L136" s="36">
        <f t="shared" si="15"/>
        <v>500</v>
      </c>
      <c r="M136" s="49">
        <v>71</v>
      </c>
      <c r="Z136" s="159"/>
      <c r="AA136" s="159"/>
      <c r="AB136" s="159"/>
      <c r="AC136" s="159"/>
    </row>
    <row r="137" spans="1:29" x14ac:dyDescent="0.2">
      <c r="A137" s="36">
        <v>48</v>
      </c>
      <c r="B137" s="36">
        <v>400</v>
      </c>
      <c r="E137" s="41">
        <v>1.1619999999999999</v>
      </c>
      <c r="H137" s="41">
        <f t="shared" si="13"/>
        <v>1.1619999999999999</v>
      </c>
      <c r="K137" s="41">
        <f t="shared" si="14"/>
        <v>0.67669999999999997</v>
      </c>
      <c r="L137" s="36">
        <f t="shared" si="15"/>
        <v>490</v>
      </c>
      <c r="M137" s="49">
        <v>70</v>
      </c>
      <c r="Z137" s="159"/>
      <c r="AA137" s="159"/>
      <c r="AB137" s="159"/>
      <c r="AC137" s="159"/>
    </row>
    <row r="138" spans="1:29" x14ac:dyDescent="0.2">
      <c r="A138" s="36">
        <v>47</v>
      </c>
      <c r="B138" s="36">
        <v>350</v>
      </c>
      <c r="E138" s="41">
        <v>1.327</v>
      </c>
      <c r="H138" s="41" t="e">
        <f t="shared" si="13"/>
        <v>#N/A</v>
      </c>
      <c r="K138" s="41">
        <f t="shared" si="14"/>
        <v>0.66459999999999997</v>
      </c>
      <c r="L138" s="36">
        <f t="shared" si="15"/>
        <v>480</v>
      </c>
      <c r="M138" s="49">
        <v>69</v>
      </c>
      <c r="Z138" s="159"/>
      <c r="AA138" s="159"/>
      <c r="AB138" s="159"/>
      <c r="AC138" s="159"/>
    </row>
    <row r="139" spans="1:29" x14ac:dyDescent="0.2">
      <c r="A139" s="36">
        <v>46</v>
      </c>
      <c r="B139" s="36">
        <v>300</v>
      </c>
      <c r="E139" s="41">
        <v>1.544</v>
      </c>
      <c r="H139" s="41" t="e">
        <f t="shared" si="13"/>
        <v>#N/A</v>
      </c>
      <c r="K139" s="41">
        <f t="shared" si="14"/>
        <v>0.65249999999999997</v>
      </c>
      <c r="L139" s="36">
        <f t="shared" si="15"/>
        <v>470</v>
      </c>
      <c r="M139" s="49">
        <v>68</v>
      </c>
      <c r="Z139" s="159"/>
      <c r="AA139" s="159"/>
      <c r="AB139" s="159"/>
      <c r="AC139" s="159"/>
    </row>
    <row r="140" spans="1:29" x14ac:dyDescent="0.2">
      <c r="A140" s="36">
        <v>45</v>
      </c>
      <c r="B140" s="36">
        <v>250</v>
      </c>
      <c r="E140" s="41">
        <v>1.845</v>
      </c>
      <c r="H140" s="41" t="e">
        <f t="shared" si="13"/>
        <v>#N/A</v>
      </c>
      <c r="K140" s="41">
        <f t="shared" si="14"/>
        <v>0.64039999999999997</v>
      </c>
      <c r="L140" s="36">
        <f t="shared" si="15"/>
        <v>460</v>
      </c>
      <c r="M140" s="49">
        <v>67</v>
      </c>
      <c r="Z140" s="159"/>
      <c r="AA140" s="159"/>
      <c r="AB140" s="159"/>
      <c r="AC140" s="159"/>
    </row>
    <row r="141" spans="1:29" x14ac:dyDescent="0.2">
      <c r="A141" s="36">
        <v>44</v>
      </c>
      <c r="B141" s="36">
        <v>200</v>
      </c>
      <c r="E141" s="41">
        <v>2.2890000000000001</v>
      </c>
      <c r="H141" s="41" t="e">
        <f t="shared" si="13"/>
        <v>#N/A</v>
      </c>
      <c r="K141" s="41">
        <f t="shared" si="14"/>
        <v>0.62819999999999998</v>
      </c>
      <c r="L141" s="36">
        <f t="shared" si="15"/>
        <v>450</v>
      </c>
      <c r="M141" s="49">
        <v>66</v>
      </c>
      <c r="Z141" s="159"/>
      <c r="AA141" s="159"/>
      <c r="AB141" s="159"/>
      <c r="AC141" s="159"/>
    </row>
    <row r="142" spans="1:29" x14ac:dyDescent="0.2">
      <c r="A142" s="36">
        <v>43</v>
      </c>
      <c r="B142" s="36">
        <v>190</v>
      </c>
      <c r="E142" s="41">
        <v>2.4049999999999998</v>
      </c>
      <c r="H142" s="41" t="e">
        <f t="shared" si="13"/>
        <v>#N/A</v>
      </c>
      <c r="K142" s="41">
        <f t="shared" si="14"/>
        <v>0.61609999999999998</v>
      </c>
      <c r="L142" s="36">
        <f t="shared" si="15"/>
        <v>440</v>
      </c>
      <c r="M142" s="49">
        <v>65</v>
      </c>
      <c r="Z142" s="159"/>
      <c r="AA142" s="159"/>
      <c r="AB142" s="159"/>
      <c r="AC142" s="159"/>
    </row>
    <row r="143" spans="1:29" x14ac:dyDescent="0.2">
      <c r="A143" s="36">
        <v>42</v>
      </c>
      <c r="B143" s="36">
        <v>180</v>
      </c>
      <c r="E143" s="41">
        <v>2.5529999999999999</v>
      </c>
      <c r="H143" s="41" t="e">
        <f t="shared" si="13"/>
        <v>#N/A</v>
      </c>
      <c r="K143" s="41">
        <f t="shared" si="14"/>
        <v>0.6038</v>
      </c>
      <c r="L143" s="36">
        <f t="shared" si="15"/>
        <v>430</v>
      </c>
      <c r="M143" s="49">
        <v>64</v>
      </c>
      <c r="Z143" s="159"/>
      <c r="AA143" s="159"/>
      <c r="AB143" s="159"/>
      <c r="AC143" s="159"/>
    </row>
    <row r="144" spans="1:29" x14ac:dyDescent="0.2">
      <c r="A144" s="36">
        <v>41</v>
      </c>
      <c r="B144" s="36">
        <v>170</v>
      </c>
      <c r="E144" s="41">
        <v>2.6760000000000002</v>
      </c>
      <c r="H144" s="41" t="e">
        <f t="shared" si="13"/>
        <v>#N/A</v>
      </c>
      <c r="K144" s="41">
        <f t="shared" si="14"/>
        <v>0.59150000000000003</v>
      </c>
      <c r="L144" s="36">
        <f t="shared" si="15"/>
        <v>420</v>
      </c>
      <c r="M144" s="49">
        <v>63</v>
      </c>
      <c r="Z144" s="160"/>
      <c r="AA144" s="159"/>
      <c r="AB144" s="159"/>
      <c r="AC144" s="161"/>
    </row>
    <row r="145" spans="1:29" x14ac:dyDescent="0.2">
      <c r="A145" s="36">
        <v>40</v>
      </c>
      <c r="B145" s="36">
        <v>160</v>
      </c>
      <c r="E145" s="41">
        <v>2.8359999999999999</v>
      </c>
      <c r="H145" s="41" t="e">
        <f t="shared" si="13"/>
        <v>#N/A</v>
      </c>
      <c r="K145" s="41">
        <f t="shared" si="14"/>
        <v>0.57920000000000005</v>
      </c>
      <c r="L145" s="36">
        <f t="shared" si="15"/>
        <v>410</v>
      </c>
      <c r="M145" s="49">
        <v>62</v>
      </c>
      <c r="Z145" s="160"/>
      <c r="AA145" s="159"/>
      <c r="AB145" s="159"/>
      <c r="AC145" s="161"/>
    </row>
    <row r="146" spans="1:29" x14ac:dyDescent="0.2">
      <c r="A146" s="36">
        <v>39</v>
      </c>
      <c r="B146" s="36">
        <v>150</v>
      </c>
      <c r="E146" s="41">
        <v>3.016</v>
      </c>
      <c r="H146" s="41" t="e">
        <f t="shared" si="13"/>
        <v>#N/A</v>
      </c>
      <c r="K146" s="41">
        <f t="shared" si="14"/>
        <v>0.56669999999999998</v>
      </c>
      <c r="L146" s="36">
        <f t="shared" si="15"/>
        <v>400</v>
      </c>
      <c r="M146" s="49">
        <v>61</v>
      </c>
      <c r="Z146" s="160"/>
      <c r="AA146" s="159"/>
      <c r="AB146" s="159"/>
      <c r="AC146" s="161"/>
    </row>
    <row r="147" spans="1:29" x14ac:dyDescent="0.2">
      <c r="A147" s="36">
        <v>38</v>
      </c>
      <c r="B147" s="36">
        <v>140</v>
      </c>
      <c r="E147" s="41">
        <v>3.2210000000000001</v>
      </c>
      <c r="H147" s="41" t="e">
        <f t="shared" si="13"/>
        <v>#N/A</v>
      </c>
      <c r="K147" s="41">
        <f t="shared" si="14"/>
        <v>0.55420000000000003</v>
      </c>
      <c r="L147" s="36">
        <f t="shared" si="15"/>
        <v>390</v>
      </c>
      <c r="M147" s="49">
        <v>60</v>
      </c>
      <c r="Z147" s="160"/>
      <c r="AA147" s="159"/>
      <c r="AB147" s="159"/>
      <c r="AC147" s="161"/>
    </row>
    <row r="148" spans="1:29" x14ac:dyDescent="0.2">
      <c r="A148" s="36">
        <v>37</v>
      </c>
      <c r="B148" s="36">
        <v>130</v>
      </c>
      <c r="E148" s="41">
        <v>3.4569999999999999</v>
      </c>
      <c r="H148" s="41" t="e">
        <f t="shared" si="13"/>
        <v>#N/A</v>
      </c>
      <c r="K148" s="41">
        <f t="shared" si="14"/>
        <v>0.54159999999999997</v>
      </c>
      <c r="L148" s="36">
        <f t="shared" si="15"/>
        <v>380</v>
      </c>
      <c r="M148" s="49">
        <v>59</v>
      </c>
      <c r="Z148" s="160"/>
      <c r="AA148" s="159"/>
      <c r="AB148" s="159"/>
      <c r="AC148" s="161"/>
    </row>
    <row r="149" spans="1:29" x14ac:dyDescent="0.2">
      <c r="A149" s="36">
        <v>36</v>
      </c>
      <c r="B149" s="36">
        <v>120</v>
      </c>
      <c r="E149" s="41">
        <v>3.73</v>
      </c>
      <c r="H149" s="41" t="e">
        <f t="shared" si="13"/>
        <v>#N/A</v>
      </c>
      <c r="K149" s="41">
        <f t="shared" si="14"/>
        <v>0.52890000000000004</v>
      </c>
      <c r="L149" s="36">
        <f t="shared" si="15"/>
        <v>370</v>
      </c>
      <c r="M149" s="49">
        <v>58</v>
      </c>
      <c r="Z149" s="160"/>
      <c r="AA149" s="159"/>
      <c r="AB149" s="159"/>
      <c r="AC149" s="161"/>
    </row>
    <row r="150" spans="1:29" x14ac:dyDescent="0.2">
      <c r="A150" s="36">
        <v>35</v>
      </c>
      <c r="B150" s="36">
        <v>110</v>
      </c>
      <c r="E150" s="41">
        <v>4.0510000000000002</v>
      </c>
      <c r="H150" s="41" t="e">
        <f t="shared" si="13"/>
        <v>#N/A</v>
      </c>
      <c r="K150" s="41">
        <f t="shared" si="14"/>
        <v>0.51619999999999999</v>
      </c>
      <c r="L150" s="36">
        <f t="shared" si="15"/>
        <v>360</v>
      </c>
      <c r="M150" s="49">
        <v>57</v>
      </c>
      <c r="Z150" s="159"/>
      <c r="AA150" s="159"/>
      <c r="AB150" s="159"/>
      <c r="AC150" s="159"/>
    </row>
    <row r="151" spans="1:29" x14ac:dyDescent="0.2">
      <c r="A151" s="36">
        <v>34</v>
      </c>
      <c r="B151" s="36">
        <v>100</v>
      </c>
      <c r="E151" s="41">
        <v>4.4340000000000002</v>
      </c>
      <c r="H151" s="41" t="e">
        <f t="shared" si="13"/>
        <v>#N/A</v>
      </c>
      <c r="K151" s="41">
        <f t="shared" si="14"/>
        <v>0.50329999999999997</v>
      </c>
      <c r="L151" s="36">
        <f t="shared" si="15"/>
        <v>350</v>
      </c>
      <c r="M151" s="49">
        <v>56</v>
      </c>
      <c r="Z151" s="159"/>
      <c r="AA151" s="159"/>
      <c r="AB151" s="159"/>
      <c r="AC151" s="159"/>
    </row>
    <row r="152" spans="1:29" x14ac:dyDescent="0.2">
      <c r="A152" s="36">
        <v>33</v>
      </c>
      <c r="B152" s="36">
        <v>95</v>
      </c>
      <c r="E152" s="41">
        <v>4.6539999999999999</v>
      </c>
      <c r="H152" s="41" t="e">
        <f t="shared" si="13"/>
        <v>#N/A</v>
      </c>
      <c r="K152" s="41">
        <f t="shared" si="14"/>
        <v>0.49030000000000001</v>
      </c>
      <c r="L152" s="36">
        <f t="shared" si="15"/>
        <v>340</v>
      </c>
      <c r="M152" s="49">
        <v>55</v>
      </c>
      <c r="Z152" s="159"/>
      <c r="AA152" s="159"/>
      <c r="AB152" s="159"/>
      <c r="AC152" s="159"/>
    </row>
    <row r="153" spans="1:29" x14ac:dyDescent="0.2">
      <c r="A153" s="36">
        <v>32</v>
      </c>
      <c r="B153" s="36">
        <v>90</v>
      </c>
      <c r="E153" s="41">
        <v>4.8979999999999997</v>
      </c>
      <c r="H153" s="41" t="e">
        <f t="shared" si="13"/>
        <v>#N/A</v>
      </c>
      <c r="K153" s="41">
        <f t="shared" si="14"/>
        <v>0.47720000000000001</v>
      </c>
      <c r="L153" s="36">
        <f t="shared" si="15"/>
        <v>330</v>
      </c>
      <c r="M153" s="49">
        <v>54</v>
      </c>
      <c r="Z153" s="159"/>
      <c r="AA153" s="159"/>
      <c r="AB153" s="159"/>
      <c r="AC153" s="159"/>
    </row>
    <row r="154" spans="1:29" x14ac:dyDescent="0.2">
      <c r="A154" s="36">
        <v>31</v>
      </c>
      <c r="B154" s="36">
        <v>85</v>
      </c>
      <c r="E154" s="41">
        <v>5.17</v>
      </c>
      <c r="H154" s="41" t="e">
        <f t="shared" si="13"/>
        <v>#N/A</v>
      </c>
      <c r="K154" s="41">
        <f t="shared" si="14"/>
        <v>0.46400000000000002</v>
      </c>
      <c r="L154" s="36">
        <f t="shared" si="15"/>
        <v>320</v>
      </c>
      <c r="M154" s="49">
        <v>53</v>
      </c>
      <c r="Z154" s="159"/>
      <c r="AA154" s="159"/>
      <c r="AB154" s="159"/>
      <c r="AC154" s="159"/>
    </row>
    <row r="155" spans="1:29" x14ac:dyDescent="0.2">
      <c r="A155" s="36">
        <v>30</v>
      </c>
      <c r="B155" s="36">
        <v>80</v>
      </c>
      <c r="E155" s="41">
        <v>5.4740000000000002</v>
      </c>
      <c r="H155" s="41" t="e">
        <f t="shared" si="13"/>
        <v>#N/A</v>
      </c>
      <c r="K155" s="41">
        <f t="shared" si="14"/>
        <v>0.45069999999999999</v>
      </c>
      <c r="L155" s="36">
        <f t="shared" si="15"/>
        <v>310</v>
      </c>
      <c r="M155" s="49">
        <v>52</v>
      </c>
      <c r="Z155" s="159"/>
      <c r="AA155" s="159"/>
      <c r="AB155" s="159"/>
      <c r="AC155" s="159"/>
    </row>
    <row r="156" spans="1:29" x14ac:dyDescent="0.2">
      <c r="A156" s="36">
        <v>29</v>
      </c>
      <c r="B156" s="36">
        <v>75</v>
      </c>
      <c r="E156" s="41">
        <v>5.8179999999999996</v>
      </c>
      <c r="H156" s="41" t="e">
        <f t="shared" si="13"/>
        <v>#N/A</v>
      </c>
      <c r="K156" s="41">
        <f t="shared" si="14"/>
        <v>0.43719999999999998</v>
      </c>
      <c r="L156" s="36">
        <f t="shared" si="15"/>
        <v>300</v>
      </c>
      <c r="M156" s="49">
        <v>51</v>
      </c>
      <c r="Z156" s="159"/>
      <c r="AA156" s="159"/>
      <c r="AB156" s="159"/>
      <c r="AC156" s="159"/>
    </row>
    <row r="157" spans="1:29" x14ac:dyDescent="0.2">
      <c r="A157" s="36">
        <v>28</v>
      </c>
      <c r="B157" s="36">
        <v>70</v>
      </c>
      <c r="E157" s="41">
        <v>6.2089999999999996</v>
      </c>
      <c r="H157" s="41" t="e">
        <f t="shared" si="13"/>
        <v>#N/A</v>
      </c>
      <c r="K157" s="41">
        <f t="shared" si="14"/>
        <v>0.42359999999999998</v>
      </c>
      <c r="L157" s="36">
        <f t="shared" si="15"/>
        <v>290</v>
      </c>
      <c r="M157" s="49">
        <v>50</v>
      </c>
      <c r="Z157" s="159"/>
      <c r="AA157" s="159"/>
      <c r="AB157" s="159"/>
      <c r="AC157" s="159"/>
    </row>
    <row r="158" spans="1:29" x14ac:dyDescent="0.2">
      <c r="A158" s="36">
        <v>27</v>
      </c>
      <c r="B158" s="36">
        <v>65</v>
      </c>
      <c r="E158" s="41">
        <v>6.6470000000000002</v>
      </c>
      <c r="H158" s="41" t="e">
        <f t="shared" si="13"/>
        <v>#N/A</v>
      </c>
      <c r="K158" s="41">
        <f t="shared" si="14"/>
        <v>0.40989999999999999</v>
      </c>
      <c r="L158" s="36">
        <f t="shared" si="15"/>
        <v>280</v>
      </c>
      <c r="M158" s="49">
        <v>49</v>
      </c>
      <c r="Z158" s="159"/>
      <c r="AA158" s="159"/>
      <c r="AB158" s="159"/>
      <c r="AC158" s="159"/>
    </row>
    <row r="159" spans="1:29" x14ac:dyDescent="0.2">
      <c r="A159" s="36">
        <v>26</v>
      </c>
      <c r="B159" s="36">
        <v>60</v>
      </c>
      <c r="E159" s="41">
        <v>7.1769999999999996</v>
      </c>
      <c r="H159" s="41" t="e">
        <f t="shared" si="13"/>
        <v>#N/A</v>
      </c>
      <c r="K159" s="41">
        <f t="shared" si="14"/>
        <v>0.39600000000000002</v>
      </c>
      <c r="L159" s="36">
        <f t="shared" si="15"/>
        <v>270</v>
      </c>
      <c r="M159" s="49">
        <v>48</v>
      </c>
      <c r="Z159" s="159"/>
      <c r="AA159" s="159"/>
      <c r="AB159" s="159"/>
      <c r="AC159" s="159"/>
    </row>
    <row r="160" spans="1:29" x14ac:dyDescent="0.2">
      <c r="A160" s="36">
        <v>25</v>
      </c>
      <c r="B160" s="36">
        <v>55</v>
      </c>
      <c r="E160" s="41">
        <v>7.79</v>
      </c>
      <c r="H160" s="41" t="e">
        <f t="shared" si="13"/>
        <v>#N/A</v>
      </c>
      <c r="K160" s="41">
        <f t="shared" si="14"/>
        <v>0.38190000000000002</v>
      </c>
      <c r="L160" s="36">
        <f t="shared" si="15"/>
        <v>260</v>
      </c>
      <c r="M160" s="49">
        <v>47</v>
      </c>
      <c r="Z160" s="159"/>
      <c r="AA160" s="159"/>
      <c r="AB160" s="159"/>
      <c r="AC160" s="159"/>
    </row>
    <row r="161" spans="1:29" x14ac:dyDescent="0.2">
      <c r="A161" s="36">
        <v>24</v>
      </c>
      <c r="B161" s="36">
        <v>50</v>
      </c>
      <c r="E161" s="41">
        <v>8.52</v>
      </c>
      <c r="H161" s="41" t="e">
        <f t="shared" si="13"/>
        <v>#N/A</v>
      </c>
      <c r="K161" s="41">
        <f t="shared" si="14"/>
        <v>0.36770000000000003</v>
      </c>
      <c r="L161" s="36">
        <f t="shared" si="15"/>
        <v>250</v>
      </c>
      <c r="M161" s="49">
        <v>46</v>
      </c>
      <c r="Z161" s="159"/>
      <c r="AA161" s="159"/>
      <c r="AB161" s="159"/>
      <c r="AC161" s="159"/>
    </row>
    <row r="162" spans="1:29" x14ac:dyDescent="0.2">
      <c r="A162" s="36">
        <v>23</v>
      </c>
      <c r="B162" s="36">
        <v>45</v>
      </c>
      <c r="E162" s="41">
        <v>9.4</v>
      </c>
      <c r="H162" s="41" t="e">
        <f t="shared" si="13"/>
        <v>#N/A</v>
      </c>
      <c r="K162" s="41">
        <f t="shared" si="14"/>
        <v>0.35339999999999999</v>
      </c>
      <c r="L162" s="36">
        <f t="shared" si="15"/>
        <v>240</v>
      </c>
      <c r="M162" s="49">
        <v>45</v>
      </c>
      <c r="Z162" s="159"/>
      <c r="AA162" s="159"/>
      <c r="AB162" s="159"/>
      <c r="AC162" s="159"/>
    </row>
    <row r="163" spans="1:29" x14ac:dyDescent="0.2">
      <c r="A163" s="36">
        <v>22</v>
      </c>
      <c r="B163" s="36">
        <v>40</v>
      </c>
      <c r="E163" s="41">
        <v>10.5</v>
      </c>
      <c r="H163" s="41" t="e">
        <f t="shared" si="13"/>
        <v>#N/A</v>
      </c>
      <c r="K163" s="41">
        <f t="shared" si="14"/>
        <v>0.33879999999999999</v>
      </c>
      <c r="L163" s="36">
        <f t="shared" si="15"/>
        <v>230</v>
      </c>
      <c r="M163" s="49">
        <v>44</v>
      </c>
      <c r="Z163" s="159"/>
      <c r="AA163" s="159"/>
      <c r="AB163" s="159"/>
      <c r="AC163" s="159"/>
    </row>
    <row r="164" spans="1:29" x14ac:dyDescent="0.2">
      <c r="A164" s="36">
        <v>21</v>
      </c>
      <c r="B164" s="36">
        <v>35</v>
      </c>
      <c r="E164" s="41">
        <v>11.9</v>
      </c>
      <c r="H164" s="41" t="e">
        <f t="shared" si="13"/>
        <v>#N/A</v>
      </c>
      <c r="K164" s="41">
        <f t="shared" si="14"/>
        <v>0.3241</v>
      </c>
      <c r="L164" s="36">
        <f t="shared" si="15"/>
        <v>220</v>
      </c>
      <c r="M164" s="49">
        <v>43</v>
      </c>
      <c r="Z164" s="159"/>
      <c r="AA164" s="159"/>
      <c r="AB164" s="159"/>
      <c r="AC164" s="159"/>
    </row>
    <row r="165" spans="1:29" x14ac:dyDescent="0.2">
      <c r="A165" s="36">
        <v>20</v>
      </c>
      <c r="B165" s="36">
        <v>30</v>
      </c>
      <c r="E165" s="41">
        <v>13.75</v>
      </c>
      <c r="H165" s="41" t="e">
        <f t="shared" si="13"/>
        <v>#N/A</v>
      </c>
      <c r="K165" s="41">
        <f t="shared" si="14"/>
        <v>0.31209999999999999</v>
      </c>
      <c r="L165" s="36">
        <f t="shared" si="15"/>
        <v>212</v>
      </c>
      <c r="M165" s="49">
        <v>42</v>
      </c>
      <c r="Z165" s="159"/>
      <c r="AA165" s="159"/>
      <c r="AB165" s="159"/>
      <c r="AC165" s="159"/>
    </row>
    <row r="166" spans="1:29" x14ac:dyDescent="0.2">
      <c r="A166" s="36">
        <v>19</v>
      </c>
      <c r="B166" s="36">
        <v>25</v>
      </c>
      <c r="E166" s="41">
        <v>16.309999999999999</v>
      </c>
      <c r="H166" s="41" t="e">
        <f t="shared" si="13"/>
        <v>#N/A</v>
      </c>
      <c r="K166" s="41">
        <f t="shared" si="14"/>
        <v>0.30909999999999999</v>
      </c>
      <c r="L166" s="36">
        <f t="shared" si="15"/>
        <v>210</v>
      </c>
      <c r="M166" s="49">
        <v>41</v>
      </c>
      <c r="Z166" s="159"/>
      <c r="AA166" s="159"/>
      <c r="AB166" s="159"/>
      <c r="AC166" s="159"/>
    </row>
    <row r="167" spans="1:29" x14ac:dyDescent="0.2">
      <c r="A167" s="36">
        <v>18</v>
      </c>
      <c r="B167" s="36">
        <v>20</v>
      </c>
      <c r="E167" s="41">
        <v>20.09</v>
      </c>
      <c r="H167" s="41" t="e">
        <f t="shared" si="13"/>
        <v>#N/A</v>
      </c>
      <c r="K167" s="41">
        <f t="shared" si="14"/>
        <v>0.29399999999999998</v>
      </c>
      <c r="L167" s="36">
        <f t="shared" si="15"/>
        <v>200</v>
      </c>
      <c r="M167" s="49">
        <v>40</v>
      </c>
      <c r="Z167" s="159"/>
      <c r="AA167" s="159"/>
      <c r="AB167" s="159"/>
      <c r="AC167" s="159"/>
    </row>
    <row r="168" spans="1:29" x14ac:dyDescent="0.2">
      <c r="A168" s="36">
        <v>17</v>
      </c>
      <c r="B168" s="36">
        <v>15</v>
      </c>
      <c r="E168" s="41">
        <v>26.29</v>
      </c>
      <c r="H168" s="41" t="e">
        <f t="shared" si="13"/>
        <v>#N/A</v>
      </c>
      <c r="K168" s="41">
        <f t="shared" si="14"/>
        <v>0.2787</v>
      </c>
      <c r="L168" s="36">
        <f t="shared" si="15"/>
        <v>190</v>
      </c>
      <c r="M168" s="49">
        <v>39</v>
      </c>
      <c r="Z168" s="159"/>
      <c r="AA168" s="159"/>
      <c r="AB168" s="159"/>
      <c r="AC168" s="159"/>
    </row>
    <row r="169" spans="1:29" x14ac:dyDescent="0.2">
      <c r="A169" s="36">
        <v>16</v>
      </c>
      <c r="B169" s="36">
        <v>14.696</v>
      </c>
      <c r="E169" s="41">
        <v>26.8</v>
      </c>
      <c r="H169" s="41" t="e">
        <f t="shared" si="13"/>
        <v>#N/A</v>
      </c>
      <c r="K169" s="41">
        <f t="shared" si="14"/>
        <v>0.2631</v>
      </c>
      <c r="L169" s="36">
        <f t="shared" si="15"/>
        <v>180</v>
      </c>
      <c r="M169" s="49">
        <v>38</v>
      </c>
      <c r="Z169" s="159"/>
      <c r="AA169" s="159"/>
      <c r="AB169" s="159"/>
      <c r="AC169" s="159"/>
    </row>
    <row r="170" spans="1:29" x14ac:dyDescent="0.2">
      <c r="A170" s="36">
        <v>15</v>
      </c>
      <c r="B170" s="36">
        <v>10</v>
      </c>
      <c r="E170" s="41">
        <v>38.42</v>
      </c>
      <c r="H170" s="41" t="e">
        <f t="shared" si="13"/>
        <v>#N/A</v>
      </c>
      <c r="K170" s="41">
        <f t="shared" si="14"/>
        <v>0.24729999999999999</v>
      </c>
      <c r="L170" s="36">
        <f t="shared" si="15"/>
        <v>170</v>
      </c>
      <c r="M170" s="49">
        <v>37</v>
      </c>
      <c r="Z170" s="159"/>
      <c r="AA170" s="159"/>
      <c r="AB170" s="159"/>
      <c r="AC170" s="159"/>
    </row>
    <row r="171" spans="1:29" x14ac:dyDescent="0.2">
      <c r="A171" s="36">
        <v>14</v>
      </c>
      <c r="B171" s="36">
        <v>9</v>
      </c>
      <c r="E171" s="41">
        <v>42.41</v>
      </c>
      <c r="H171" s="41" t="e">
        <f t="shared" si="13"/>
        <v>#N/A</v>
      </c>
      <c r="K171" s="41">
        <f t="shared" si="14"/>
        <v>0.23130000000000001</v>
      </c>
      <c r="L171" s="36">
        <f t="shared" si="15"/>
        <v>160</v>
      </c>
      <c r="M171" s="49">
        <v>36</v>
      </c>
      <c r="Z171" s="159"/>
      <c r="AA171" s="159"/>
      <c r="AB171" s="159"/>
      <c r="AC171" s="159"/>
    </row>
    <row r="172" spans="1:29" x14ac:dyDescent="0.2">
      <c r="A172" s="36">
        <v>13</v>
      </c>
      <c r="B172" s="36">
        <v>8</v>
      </c>
      <c r="E172" s="41">
        <v>47.35</v>
      </c>
      <c r="H172" s="41" t="e">
        <f t="shared" si="13"/>
        <v>#N/A</v>
      </c>
      <c r="K172" s="41">
        <f t="shared" si="14"/>
        <v>0.215</v>
      </c>
      <c r="L172" s="36">
        <f t="shared" si="15"/>
        <v>150</v>
      </c>
      <c r="M172" s="49">
        <v>35</v>
      </c>
      <c r="Z172" s="159"/>
      <c r="AA172" s="159"/>
      <c r="AB172" s="159"/>
      <c r="AC172" s="159"/>
    </row>
    <row r="173" spans="1:29" x14ac:dyDescent="0.2">
      <c r="A173" s="36">
        <v>12</v>
      </c>
      <c r="B173" s="36">
        <v>7</v>
      </c>
      <c r="E173" s="41">
        <v>53.65</v>
      </c>
      <c r="H173" s="41" t="e">
        <f t="shared" ref="H173:H184" si="16">IF(E173&gt;$G$41,NA(),E173)</f>
        <v>#N/A</v>
      </c>
      <c r="K173" s="41">
        <f t="shared" si="14"/>
        <v>0.19850000000000001</v>
      </c>
      <c r="L173" s="36">
        <f t="shared" si="15"/>
        <v>140</v>
      </c>
      <c r="M173" s="49">
        <v>34</v>
      </c>
      <c r="Z173" s="159"/>
      <c r="AA173" s="159"/>
      <c r="AB173" s="159"/>
      <c r="AC173" s="159"/>
    </row>
    <row r="174" spans="1:29" x14ac:dyDescent="0.2">
      <c r="A174" s="36">
        <v>11</v>
      </c>
      <c r="B174" s="36">
        <v>6</v>
      </c>
      <c r="E174" s="41">
        <v>61.98</v>
      </c>
      <c r="H174" s="41" t="e">
        <f t="shared" si="16"/>
        <v>#N/A</v>
      </c>
      <c r="K174" s="41">
        <f t="shared" si="14"/>
        <v>0.1817</v>
      </c>
      <c r="L174" s="36">
        <f t="shared" si="15"/>
        <v>130</v>
      </c>
      <c r="M174" s="49">
        <v>33</v>
      </c>
      <c r="Z174" s="159"/>
      <c r="AA174" s="159"/>
      <c r="AB174" s="159"/>
      <c r="AC174" s="159"/>
    </row>
    <row r="175" spans="1:29" x14ac:dyDescent="0.2">
      <c r="A175" s="36">
        <v>10</v>
      </c>
      <c r="B175" s="36">
        <v>5</v>
      </c>
      <c r="E175" s="41">
        <v>73.53</v>
      </c>
      <c r="H175" s="41" t="e">
        <f t="shared" si="16"/>
        <v>#N/A</v>
      </c>
      <c r="K175" s="41">
        <f t="shared" si="14"/>
        <v>0.16470000000000001</v>
      </c>
      <c r="L175" s="36">
        <f t="shared" si="15"/>
        <v>120</v>
      </c>
      <c r="M175" s="49">
        <v>32</v>
      </c>
      <c r="Z175" s="159"/>
      <c r="AA175" s="159"/>
      <c r="AB175" s="159"/>
      <c r="AC175" s="159"/>
    </row>
    <row r="176" spans="1:29" x14ac:dyDescent="0.2">
      <c r="A176" s="36">
        <v>9</v>
      </c>
      <c r="B176" s="36">
        <v>4</v>
      </c>
      <c r="E176" s="41">
        <v>90.64</v>
      </c>
      <c r="H176" s="41" t="e">
        <f t="shared" si="16"/>
        <v>#N/A</v>
      </c>
      <c r="K176" s="41">
        <f t="shared" si="14"/>
        <v>0.14729999999999999</v>
      </c>
      <c r="L176" s="36">
        <f t="shared" si="15"/>
        <v>110</v>
      </c>
      <c r="M176" s="49">
        <v>31</v>
      </c>
      <c r="Z176" s="159"/>
      <c r="AA176" s="159"/>
      <c r="AB176" s="159"/>
      <c r="AC176" s="159"/>
    </row>
    <row r="177" spans="1:29" x14ac:dyDescent="0.2">
      <c r="A177" s="36">
        <v>8</v>
      </c>
      <c r="B177" s="36">
        <v>3</v>
      </c>
      <c r="E177" s="41">
        <v>118.72</v>
      </c>
      <c r="H177" s="41" t="e">
        <f t="shared" si="16"/>
        <v>#N/A</v>
      </c>
      <c r="K177" s="41">
        <f t="shared" si="14"/>
        <v>0.12959999999999999</v>
      </c>
      <c r="L177" s="36">
        <f t="shared" si="15"/>
        <v>100</v>
      </c>
      <c r="M177" s="49">
        <v>30</v>
      </c>
      <c r="Z177" s="159"/>
      <c r="AA177" s="159"/>
      <c r="AB177" s="159"/>
      <c r="AC177" s="159"/>
    </row>
    <row r="178" spans="1:29" x14ac:dyDescent="0.2">
      <c r="A178" s="36">
        <v>7</v>
      </c>
      <c r="B178" s="36">
        <v>2</v>
      </c>
      <c r="E178" s="41">
        <v>173.75</v>
      </c>
      <c r="H178" s="41" t="e">
        <f t="shared" si="16"/>
        <v>#N/A</v>
      </c>
      <c r="K178" s="41">
        <f t="shared" si="14"/>
        <v>0.12609999999999999</v>
      </c>
      <c r="L178" s="36">
        <f t="shared" si="15"/>
        <v>98</v>
      </c>
      <c r="M178" s="49">
        <v>29</v>
      </c>
      <c r="Z178" s="159"/>
      <c r="AA178" s="159"/>
      <c r="AB178" s="159"/>
      <c r="AC178" s="159"/>
    </row>
    <row r="179" spans="1:29" x14ac:dyDescent="0.2">
      <c r="A179" s="36">
        <v>6</v>
      </c>
      <c r="B179" s="36">
        <v>1.5</v>
      </c>
      <c r="E179" s="41">
        <v>227.7</v>
      </c>
      <c r="H179" s="41" t="e">
        <f t="shared" si="16"/>
        <v>#N/A</v>
      </c>
      <c r="K179" s="41">
        <f t="shared" si="14"/>
        <v>0.1225</v>
      </c>
      <c r="L179" s="36">
        <f t="shared" si="15"/>
        <v>96</v>
      </c>
      <c r="M179" s="49">
        <v>28</v>
      </c>
      <c r="Z179" s="159"/>
      <c r="AA179" s="159"/>
      <c r="AB179" s="159"/>
      <c r="AC179" s="159"/>
    </row>
    <row r="180" spans="1:29" x14ac:dyDescent="0.2">
      <c r="A180" s="36">
        <v>5</v>
      </c>
      <c r="B180" s="36">
        <v>1.2</v>
      </c>
      <c r="E180" s="41">
        <v>280.89999999999998</v>
      </c>
      <c r="H180" s="41" t="e">
        <f t="shared" si="16"/>
        <v>#N/A</v>
      </c>
      <c r="K180" s="41">
        <f t="shared" si="14"/>
        <v>0.11890000000000001</v>
      </c>
      <c r="L180" s="36">
        <f t="shared" si="15"/>
        <v>94</v>
      </c>
      <c r="M180" s="49">
        <v>27</v>
      </c>
      <c r="Z180" s="159"/>
      <c r="AA180" s="159"/>
      <c r="AB180" s="159"/>
      <c r="AC180" s="159"/>
    </row>
    <row r="181" spans="1:29" x14ac:dyDescent="0.2">
      <c r="A181" s="36">
        <v>4</v>
      </c>
      <c r="B181" s="36">
        <v>1</v>
      </c>
      <c r="E181" s="41">
        <v>333.6</v>
      </c>
      <c r="H181" s="41" t="e">
        <f t="shared" si="16"/>
        <v>#N/A</v>
      </c>
      <c r="K181" s="41">
        <f t="shared" si="14"/>
        <v>0.1153</v>
      </c>
      <c r="L181" s="36">
        <f t="shared" si="15"/>
        <v>92</v>
      </c>
      <c r="M181" s="49">
        <v>26</v>
      </c>
      <c r="Z181" s="159"/>
      <c r="AA181" s="159"/>
      <c r="AB181" s="159"/>
      <c r="AC181" s="159"/>
    </row>
    <row r="182" spans="1:29" x14ac:dyDescent="0.2">
      <c r="A182" s="36">
        <v>3</v>
      </c>
      <c r="B182" s="36">
        <v>0.8</v>
      </c>
      <c r="E182" s="41">
        <v>411.7</v>
      </c>
      <c r="H182" s="41" t="e">
        <f t="shared" si="16"/>
        <v>#N/A</v>
      </c>
      <c r="K182" s="41">
        <f t="shared" si="14"/>
        <v>0.11169999999999999</v>
      </c>
      <c r="L182" s="36">
        <f t="shared" si="15"/>
        <v>90</v>
      </c>
      <c r="M182" s="49">
        <v>25</v>
      </c>
      <c r="Z182" s="159"/>
      <c r="AA182" s="159"/>
      <c r="AB182" s="159"/>
      <c r="AC182" s="159"/>
    </row>
    <row r="183" spans="1:29" x14ac:dyDescent="0.2">
      <c r="A183" s="36">
        <v>2</v>
      </c>
      <c r="B183" s="36">
        <v>0.6</v>
      </c>
      <c r="E183" s="41">
        <v>540</v>
      </c>
      <c r="H183" s="41" t="e">
        <f t="shared" si="16"/>
        <v>#N/A</v>
      </c>
      <c r="K183" s="41">
        <f t="shared" si="14"/>
        <v>0.108</v>
      </c>
      <c r="L183" s="36">
        <f t="shared" si="15"/>
        <v>88</v>
      </c>
      <c r="M183" s="49">
        <v>24</v>
      </c>
      <c r="Z183" s="159"/>
      <c r="AA183" s="159"/>
      <c r="AB183" s="159"/>
      <c r="AC183" s="159"/>
    </row>
    <row r="184" spans="1:29" x14ac:dyDescent="0.2">
      <c r="A184" s="36">
        <v>1</v>
      </c>
      <c r="B184" s="36">
        <v>0.4</v>
      </c>
      <c r="E184" s="41">
        <v>792</v>
      </c>
      <c r="H184" s="41" t="e">
        <f t="shared" si="16"/>
        <v>#N/A</v>
      </c>
      <c r="K184" s="41">
        <f t="shared" si="14"/>
        <v>0.10440000000000001</v>
      </c>
      <c r="L184" s="36">
        <f t="shared" si="15"/>
        <v>86</v>
      </c>
      <c r="M184" s="49">
        <v>23</v>
      </c>
      <c r="Z184" s="159"/>
      <c r="AA184" s="159"/>
      <c r="AB184" s="159"/>
      <c r="AC184" s="159"/>
    </row>
    <row r="185" spans="1:29" x14ac:dyDescent="0.2">
      <c r="K185" s="41">
        <f t="shared" si="14"/>
        <v>0.1007</v>
      </c>
      <c r="L185" s="36">
        <f t="shared" si="15"/>
        <v>84</v>
      </c>
      <c r="M185" s="49">
        <v>22</v>
      </c>
      <c r="Z185" s="159"/>
      <c r="AA185" s="159"/>
      <c r="AB185" s="159"/>
      <c r="AC185" s="159"/>
    </row>
    <row r="186" spans="1:29" x14ac:dyDescent="0.2">
      <c r="K186" s="41">
        <f t="shared" si="14"/>
        <v>9.7009999999999999E-2</v>
      </c>
      <c r="L186" s="36">
        <f t="shared" si="15"/>
        <v>82</v>
      </c>
      <c r="M186" s="49">
        <v>21</v>
      </c>
      <c r="Z186" s="159"/>
      <c r="AA186" s="159"/>
      <c r="AB186" s="159"/>
      <c r="AC186" s="159"/>
    </row>
    <row r="187" spans="1:29" x14ac:dyDescent="0.2">
      <c r="K187" s="41">
        <f t="shared" si="14"/>
        <v>9.332E-2</v>
      </c>
      <c r="L187" s="36">
        <f t="shared" si="15"/>
        <v>80</v>
      </c>
      <c r="M187" s="49">
        <v>20</v>
      </c>
      <c r="Z187" s="159"/>
      <c r="AA187" s="159"/>
      <c r="AB187" s="159"/>
      <c r="AC187" s="159"/>
    </row>
    <row r="188" spans="1:29" x14ac:dyDescent="0.2">
      <c r="K188" s="41">
        <f t="shared" si="14"/>
        <v>8.9609999999999995E-2</v>
      </c>
      <c r="L188" s="36">
        <f t="shared" si="15"/>
        <v>78</v>
      </c>
      <c r="M188" s="49">
        <v>19</v>
      </c>
      <c r="Z188" s="159"/>
      <c r="AA188" s="159"/>
      <c r="AB188" s="159"/>
      <c r="AC188" s="159"/>
    </row>
    <row r="189" spans="1:29" x14ac:dyDescent="0.2">
      <c r="K189" s="41">
        <f t="shared" si="14"/>
        <v>8.5889999999999994E-2</v>
      </c>
      <c r="L189" s="36">
        <f t="shared" si="15"/>
        <v>76</v>
      </c>
      <c r="M189" s="49">
        <v>18</v>
      </c>
      <c r="Z189" s="159"/>
      <c r="AA189" s="159"/>
      <c r="AB189" s="159"/>
      <c r="AC189" s="159"/>
    </row>
    <row r="190" spans="1:29" x14ac:dyDescent="0.2">
      <c r="K190" s="41">
        <f t="shared" si="14"/>
        <v>8.2150000000000001E-2</v>
      </c>
      <c r="L190" s="36">
        <f t="shared" si="15"/>
        <v>74</v>
      </c>
      <c r="M190" s="49">
        <v>17</v>
      </c>
      <c r="Z190" s="159"/>
      <c r="AA190" s="159"/>
      <c r="AB190" s="159"/>
      <c r="AC190" s="159"/>
    </row>
    <row r="191" spans="1:29" x14ac:dyDescent="0.2">
      <c r="K191" s="41">
        <f t="shared" ref="K191:K206" si="17">INDEX($J$44:$J$124,$M191)</f>
        <v>7.8390000000000001E-2</v>
      </c>
      <c r="L191" s="36">
        <f t="shared" si="15"/>
        <v>72</v>
      </c>
      <c r="M191" s="49">
        <v>16</v>
      </c>
      <c r="Z191" s="159"/>
      <c r="AA191" s="159"/>
      <c r="AB191" s="159"/>
      <c r="AC191" s="159"/>
    </row>
    <row r="192" spans="1:29" x14ac:dyDescent="0.2">
      <c r="K192" s="41">
        <f t="shared" si="17"/>
        <v>7.4630000000000002E-2</v>
      </c>
      <c r="L192" s="36">
        <f t="shared" ref="L192:L206" si="18">INDEX($L$44:$L$124,M192)</f>
        <v>70</v>
      </c>
      <c r="M192" s="49">
        <v>15</v>
      </c>
      <c r="Z192" s="159"/>
      <c r="AA192" s="159"/>
      <c r="AB192" s="159"/>
      <c r="AC192" s="159"/>
    </row>
    <row r="193" spans="11:29" x14ac:dyDescent="0.2">
      <c r="K193" s="41">
        <f t="shared" si="17"/>
        <v>7.084E-2</v>
      </c>
      <c r="L193" s="36">
        <f t="shared" si="18"/>
        <v>68</v>
      </c>
      <c r="M193" s="49">
        <v>14</v>
      </c>
      <c r="Z193" s="159"/>
      <c r="AA193" s="159"/>
      <c r="AB193" s="159"/>
      <c r="AC193" s="159"/>
    </row>
    <row r="194" spans="11:29" x14ac:dyDescent="0.2">
      <c r="K194" s="41">
        <f t="shared" si="17"/>
        <v>6.7040000000000002E-2</v>
      </c>
      <c r="L194" s="36">
        <f t="shared" si="18"/>
        <v>66</v>
      </c>
      <c r="M194" s="49">
        <v>13</v>
      </c>
      <c r="Z194" s="159"/>
      <c r="AA194" s="159"/>
      <c r="AB194" s="159"/>
      <c r="AC194" s="159"/>
    </row>
    <row r="195" spans="11:29" x14ac:dyDescent="0.2">
      <c r="K195" s="41">
        <f t="shared" si="17"/>
        <v>6.3229999999999995E-2</v>
      </c>
      <c r="L195" s="36">
        <f t="shared" si="18"/>
        <v>64</v>
      </c>
      <c r="M195" s="49">
        <v>12</v>
      </c>
      <c r="Z195" s="159"/>
      <c r="AA195" s="159"/>
      <c r="AB195" s="159"/>
      <c r="AC195" s="159"/>
    </row>
    <row r="196" spans="11:29" x14ac:dyDescent="0.2">
      <c r="K196" s="41">
        <f t="shared" si="17"/>
        <v>5.9400000000000001E-2</v>
      </c>
      <c r="L196" s="36">
        <f t="shared" si="18"/>
        <v>62</v>
      </c>
      <c r="M196" s="49">
        <v>11</v>
      </c>
      <c r="Z196" s="159"/>
      <c r="AA196" s="159"/>
      <c r="AB196" s="159"/>
      <c r="AC196" s="159"/>
    </row>
    <row r="197" spans="11:29" x14ac:dyDescent="0.2">
      <c r="K197" s="41">
        <f t="shared" si="17"/>
        <v>5.5550000000000002E-2</v>
      </c>
      <c r="L197" s="36">
        <f t="shared" si="18"/>
        <v>60</v>
      </c>
      <c r="M197" s="49">
        <v>10</v>
      </c>
      <c r="Z197" s="159"/>
      <c r="AA197" s="159"/>
      <c r="AB197" s="159"/>
      <c r="AC197" s="159"/>
    </row>
    <row r="198" spans="11:29" x14ac:dyDescent="0.2">
      <c r="K198" s="41">
        <f t="shared" si="17"/>
        <v>5.1589999999999997E-2</v>
      </c>
      <c r="L198" s="36">
        <f t="shared" si="18"/>
        <v>58</v>
      </c>
      <c r="M198" s="49">
        <v>9</v>
      </c>
      <c r="Z198" s="159"/>
      <c r="AA198" s="159"/>
      <c r="AB198" s="159"/>
      <c r="AC198" s="159"/>
    </row>
    <row r="199" spans="11:29" x14ac:dyDescent="0.2">
      <c r="K199" s="41">
        <f t="shared" si="17"/>
        <v>4.7809999999999998E-2</v>
      </c>
      <c r="L199" s="36">
        <f t="shared" si="18"/>
        <v>56</v>
      </c>
      <c r="M199" s="49">
        <v>8</v>
      </c>
      <c r="Z199" s="159"/>
      <c r="AA199" s="159"/>
      <c r="AB199" s="159"/>
      <c r="AC199" s="159"/>
    </row>
    <row r="200" spans="11:29" x14ac:dyDescent="0.2">
      <c r="K200" s="41">
        <f t="shared" si="17"/>
        <v>4.3909999999999998E-2</v>
      </c>
      <c r="L200" s="36">
        <f t="shared" si="18"/>
        <v>54</v>
      </c>
      <c r="M200" s="49">
        <v>7</v>
      </c>
      <c r="Z200" s="159"/>
      <c r="AA200" s="159"/>
      <c r="AB200" s="159"/>
      <c r="AC200" s="159"/>
    </row>
    <row r="201" spans="11:29" x14ac:dyDescent="0.2">
      <c r="K201" s="41">
        <f t="shared" si="17"/>
        <v>0.04</v>
      </c>
      <c r="L201" s="36">
        <f t="shared" si="18"/>
        <v>52</v>
      </c>
      <c r="M201" s="49">
        <v>6</v>
      </c>
      <c r="Z201" s="159"/>
      <c r="AA201" s="159"/>
      <c r="AB201" s="159"/>
      <c r="AC201" s="159"/>
    </row>
    <row r="202" spans="11:29" x14ac:dyDescent="0.2">
      <c r="K202" s="41">
        <f t="shared" si="17"/>
        <v>3.6069999999999998E-2</v>
      </c>
      <c r="L202" s="36">
        <f t="shared" si="18"/>
        <v>50</v>
      </c>
      <c r="M202" s="49">
        <v>5</v>
      </c>
      <c r="Z202" s="160"/>
      <c r="AA202" s="159"/>
      <c r="AB202" s="159"/>
      <c r="AC202" s="159"/>
    </row>
    <row r="203" spans="11:29" x14ac:dyDescent="0.2">
      <c r="K203" s="41">
        <f t="shared" si="17"/>
        <v>2.6179999999999998E-2</v>
      </c>
      <c r="L203" s="36">
        <f t="shared" si="18"/>
        <v>45</v>
      </c>
      <c r="M203" s="49">
        <v>4</v>
      </c>
      <c r="Z203" s="160"/>
      <c r="AA203" s="159"/>
      <c r="AB203" s="159"/>
      <c r="AC203" s="159"/>
    </row>
    <row r="204" spans="11:29" x14ac:dyDescent="0.2">
      <c r="K204" s="41">
        <f t="shared" si="17"/>
        <v>1.617E-2</v>
      </c>
      <c r="L204" s="36">
        <f t="shared" si="18"/>
        <v>40</v>
      </c>
      <c r="M204" s="49">
        <v>3</v>
      </c>
      <c r="Z204" s="160"/>
      <c r="AA204" s="159"/>
      <c r="AB204" s="159"/>
      <c r="AC204" s="159"/>
    </row>
    <row r="205" spans="11:29" x14ac:dyDescent="0.2">
      <c r="K205" s="41">
        <f t="shared" si="17"/>
        <v>6.0699999999999999E-3</v>
      </c>
      <c r="L205" s="36">
        <f t="shared" si="18"/>
        <v>35</v>
      </c>
      <c r="M205" s="49">
        <v>2</v>
      </c>
      <c r="Z205" s="160"/>
      <c r="AA205" s="159"/>
      <c r="AB205" s="159"/>
      <c r="AC205" s="159"/>
    </row>
    <row r="206" spans="11:29" x14ac:dyDescent="0.2">
      <c r="K206" s="41">
        <f t="shared" si="17"/>
        <v>-3.0000000000000001E-5</v>
      </c>
      <c r="L206" s="36">
        <f t="shared" si="18"/>
        <v>32</v>
      </c>
      <c r="M206" s="49">
        <v>1</v>
      </c>
      <c r="Z206" s="160"/>
      <c r="AA206" s="159"/>
      <c r="AB206" s="159"/>
      <c r="AC206" s="159"/>
    </row>
    <row r="207" spans="11:29" x14ac:dyDescent="0.2">
      <c r="Z207" s="160"/>
      <c r="AA207" s="159"/>
      <c r="AB207" s="159"/>
      <c r="AC207" s="159"/>
    </row>
    <row r="208" spans="11:29" x14ac:dyDescent="0.2">
      <c r="Z208" s="160"/>
      <c r="AA208" s="159"/>
      <c r="AB208" s="159"/>
      <c r="AC208" s="159"/>
    </row>
    <row r="209" spans="26:29" x14ac:dyDescent="0.2">
      <c r="Z209" s="160"/>
      <c r="AA209" s="159"/>
      <c r="AB209" s="159"/>
      <c r="AC209" s="159"/>
    </row>
    <row r="210" spans="26:29" x14ac:dyDescent="0.2">
      <c r="Z210" s="160"/>
      <c r="AA210" s="159"/>
      <c r="AB210" s="159"/>
      <c r="AC210" s="159"/>
    </row>
    <row r="211" spans="26:29" x14ac:dyDescent="0.2">
      <c r="Z211" s="160"/>
      <c r="AA211" s="159"/>
      <c r="AB211" s="159"/>
      <c r="AC211" s="161"/>
    </row>
    <row r="212" spans="26:29" x14ac:dyDescent="0.2">
      <c r="Z212" s="160"/>
      <c r="AA212" s="159"/>
      <c r="AB212" s="159"/>
      <c r="AC212" s="161"/>
    </row>
    <row r="213" spans="26:29" x14ac:dyDescent="0.2">
      <c r="Z213" s="160"/>
      <c r="AA213" s="159"/>
      <c r="AB213" s="159"/>
      <c r="AC213" s="161"/>
    </row>
    <row r="214" spans="26:29" x14ac:dyDescent="0.2">
      <c r="Z214" s="160"/>
      <c r="AA214" s="159"/>
      <c r="AB214" s="159"/>
      <c r="AC214" s="161"/>
    </row>
    <row r="215" spans="26:29" x14ac:dyDescent="0.2">
      <c r="Z215" s="160"/>
      <c r="AA215" s="159"/>
      <c r="AB215" s="159"/>
      <c r="AC215" s="161"/>
    </row>
    <row r="216" spans="26:29" x14ac:dyDescent="0.2">
      <c r="Z216" s="160"/>
      <c r="AA216" s="159"/>
      <c r="AB216" s="159"/>
      <c r="AC216" s="161"/>
    </row>
    <row r="217" spans="26:29" x14ac:dyDescent="0.2">
      <c r="Z217" s="160"/>
      <c r="AA217" s="159"/>
      <c r="AB217" s="159"/>
      <c r="AC217" s="161"/>
    </row>
    <row r="218" spans="26:29" x14ac:dyDescent="0.2">
      <c r="Z218" s="160"/>
      <c r="AA218" s="159"/>
      <c r="AB218" s="159"/>
      <c r="AC218" s="161"/>
    </row>
    <row r="219" spans="26:29" x14ac:dyDescent="0.2">
      <c r="Z219" s="160"/>
      <c r="AA219" s="159"/>
      <c r="AB219" s="159"/>
      <c r="AC219" s="161"/>
    </row>
    <row r="220" spans="26:29" x14ac:dyDescent="0.2">
      <c r="Z220" s="160"/>
      <c r="AA220" s="159"/>
      <c r="AB220" s="159"/>
      <c r="AC220" s="161"/>
    </row>
    <row r="221" spans="26:29" x14ac:dyDescent="0.2">
      <c r="Z221" s="160"/>
      <c r="AA221" s="159"/>
      <c r="AB221" s="159"/>
      <c r="AC221" s="161"/>
    </row>
    <row r="222" spans="26:29" x14ac:dyDescent="0.2">
      <c r="Z222" s="160"/>
      <c r="AA222" s="159"/>
      <c r="AB222" s="159"/>
      <c r="AC222" s="161"/>
    </row>
    <row r="223" spans="26:29" x14ac:dyDescent="0.2">
      <c r="Z223" s="160"/>
      <c r="AA223" s="159"/>
      <c r="AB223" s="159"/>
      <c r="AC223" s="159"/>
    </row>
    <row r="224" spans="26:29" x14ac:dyDescent="0.2">
      <c r="Z224" s="160"/>
      <c r="AA224" s="159"/>
      <c r="AB224" s="159"/>
      <c r="AC224" s="159"/>
    </row>
    <row r="225" spans="26:29" x14ac:dyDescent="0.2">
      <c r="Z225" s="160"/>
      <c r="AA225" s="159"/>
      <c r="AB225" s="159"/>
      <c r="AC225" s="159"/>
    </row>
    <row r="226" spans="26:29" x14ac:dyDescent="0.2">
      <c r="Z226" s="160"/>
      <c r="AA226" s="159"/>
      <c r="AB226" s="159"/>
      <c r="AC226" s="159"/>
    </row>
    <row r="227" spans="26:29" x14ac:dyDescent="0.2">
      <c r="Z227" s="160"/>
      <c r="AA227" s="159"/>
      <c r="AB227" s="159"/>
      <c r="AC227" s="159"/>
    </row>
    <row r="228" spans="26:29" x14ac:dyDescent="0.2">
      <c r="Z228" s="160"/>
      <c r="AA228" s="159"/>
      <c r="AB228" s="159"/>
      <c r="AC228" s="159"/>
    </row>
    <row r="229" spans="26:29" x14ac:dyDescent="0.2">
      <c r="Z229" s="160"/>
      <c r="AA229" s="159"/>
      <c r="AB229" s="159"/>
      <c r="AC229" s="159"/>
    </row>
    <row r="230" spans="26:29" x14ac:dyDescent="0.2">
      <c r="Z230" s="160"/>
      <c r="AA230" s="159"/>
      <c r="AB230" s="159"/>
      <c r="AC230" s="159"/>
    </row>
    <row r="231" spans="26:29" x14ac:dyDescent="0.2">
      <c r="Z231" s="160"/>
      <c r="AA231" s="159"/>
      <c r="AB231" s="159"/>
      <c r="AC231" s="159"/>
    </row>
    <row r="232" spans="26:29" x14ac:dyDescent="0.2">
      <c r="Z232" s="160"/>
      <c r="AA232" s="159"/>
      <c r="AB232" s="159"/>
      <c r="AC232" s="159"/>
    </row>
    <row r="233" spans="26:29" x14ac:dyDescent="0.2">
      <c r="Z233" s="160"/>
      <c r="AA233" s="159"/>
      <c r="AB233" s="159"/>
      <c r="AC233" s="159"/>
    </row>
    <row r="234" spans="26:29" x14ac:dyDescent="0.2">
      <c r="Z234" s="160"/>
      <c r="AA234" s="159"/>
      <c r="AB234" s="159"/>
      <c r="AC234" s="159"/>
    </row>
    <row r="235" spans="26:29" x14ac:dyDescent="0.2">
      <c r="Z235" s="159"/>
      <c r="AA235" s="159"/>
      <c r="AB235" s="159"/>
      <c r="AC235" s="159"/>
    </row>
    <row r="236" spans="26:29" x14ac:dyDescent="0.2">
      <c r="Z236" s="159"/>
      <c r="AA236" s="159"/>
      <c r="AB236" s="159"/>
      <c r="AC236" s="159"/>
    </row>
    <row r="237" spans="26:29" x14ac:dyDescent="0.2">
      <c r="Z237" s="159"/>
      <c r="AA237" s="159"/>
      <c r="AB237" s="159"/>
      <c r="AC237" s="159"/>
    </row>
    <row r="238" spans="26:29" x14ac:dyDescent="0.2">
      <c r="Z238" s="159"/>
      <c r="AA238" s="159"/>
      <c r="AB238" s="159"/>
      <c r="AC238" s="159"/>
    </row>
    <row r="239" spans="26:29" x14ac:dyDescent="0.2">
      <c r="Z239" s="159"/>
      <c r="AA239" s="159"/>
      <c r="AB239" s="159"/>
      <c r="AC239" s="159"/>
    </row>
    <row r="240" spans="26:29" x14ac:dyDescent="0.2">
      <c r="Z240" s="159"/>
      <c r="AA240" s="159"/>
      <c r="AB240" s="159"/>
      <c r="AC240" s="159"/>
    </row>
    <row r="241" spans="26:29" x14ac:dyDescent="0.2">
      <c r="Z241" s="159"/>
      <c r="AA241" s="159"/>
      <c r="AB241" s="159"/>
      <c r="AC241" s="159"/>
    </row>
    <row r="242" spans="26:29" x14ac:dyDescent="0.2">
      <c r="Z242" s="159"/>
      <c r="AA242" s="159"/>
      <c r="AB242" s="159"/>
      <c r="AC242" s="159"/>
    </row>
    <row r="243" spans="26:29" x14ac:dyDescent="0.2">
      <c r="Z243" s="159"/>
      <c r="AA243" s="159"/>
      <c r="AB243" s="159"/>
      <c r="AC243" s="159"/>
    </row>
    <row r="244" spans="26:29" x14ac:dyDescent="0.2">
      <c r="Z244" s="159"/>
      <c r="AA244" s="159"/>
      <c r="AB244" s="159"/>
      <c r="AC244" s="159"/>
    </row>
    <row r="245" spans="26:29" x14ac:dyDescent="0.2">
      <c r="Z245" s="159"/>
      <c r="AA245" s="159"/>
      <c r="AB245" s="159"/>
      <c r="AC245" s="159"/>
    </row>
    <row r="246" spans="26:29" x14ac:dyDescent="0.2">
      <c r="Z246" s="159"/>
      <c r="AA246" s="159"/>
      <c r="AB246" s="159"/>
      <c r="AC246" s="159"/>
    </row>
    <row r="247" spans="26:29" x14ac:dyDescent="0.2">
      <c r="Z247" s="159"/>
      <c r="AA247" s="159"/>
      <c r="AB247" s="159"/>
      <c r="AC247" s="159"/>
    </row>
    <row r="248" spans="26:29" x14ac:dyDescent="0.2">
      <c r="Z248" s="159"/>
      <c r="AA248" s="159"/>
      <c r="AB248" s="159"/>
      <c r="AC248" s="159"/>
    </row>
    <row r="249" spans="26:29" x14ac:dyDescent="0.2">
      <c r="Z249" s="159"/>
      <c r="AA249" s="159"/>
      <c r="AB249" s="159"/>
      <c r="AC249" s="159"/>
    </row>
    <row r="250" spans="26:29" x14ac:dyDescent="0.2">
      <c r="Z250" s="159"/>
      <c r="AA250" s="159"/>
      <c r="AB250" s="159"/>
      <c r="AC250" s="159"/>
    </row>
    <row r="251" spans="26:29" x14ac:dyDescent="0.2">
      <c r="Z251" s="159"/>
      <c r="AA251" s="159"/>
      <c r="AB251" s="159"/>
      <c r="AC251" s="159"/>
    </row>
    <row r="252" spans="26:29" x14ac:dyDescent="0.2">
      <c r="Z252" s="159"/>
      <c r="AA252" s="159"/>
      <c r="AB252" s="159"/>
      <c r="AC252" s="159"/>
    </row>
    <row r="253" spans="26:29" x14ac:dyDescent="0.2">
      <c r="Z253" s="159"/>
      <c r="AA253" s="159"/>
      <c r="AB253" s="159"/>
      <c r="AC253" s="159"/>
    </row>
    <row r="254" spans="26:29" x14ac:dyDescent="0.2">
      <c r="Z254" s="159"/>
      <c r="AA254" s="159"/>
      <c r="AB254" s="159"/>
      <c r="AC254" s="159"/>
    </row>
    <row r="255" spans="26:29" x14ac:dyDescent="0.2">
      <c r="Z255" s="159"/>
      <c r="AA255" s="159"/>
      <c r="AB255" s="159"/>
      <c r="AC255" s="159"/>
    </row>
    <row r="256" spans="26:29" x14ac:dyDescent="0.2">
      <c r="Z256" s="159"/>
      <c r="AA256" s="159"/>
      <c r="AB256" s="159"/>
      <c r="AC256" s="159"/>
    </row>
    <row r="257" spans="26:29" x14ac:dyDescent="0.2">
      <c r="Z257" s="159"/>
      <c r="AA257" s="159"/>
      <c r="AB257" s="159"/>
      <c r="AC257" s="159"/>
    </row>
    <row r="258" spans="26:29" x14ac:dyDescent="0.2">
      <c r="Z258" s="159"/>
      <c r="AA258" s="159"/>
      <c r="AB258" s="159"/>
      <c r="AC258" s="159"/>
    </row>
    <row r="259" spans="26:29" x14ac:dyDescent="0.2">
      <c r="Z259" s="159"/>
      <c r="AA259" s="159"/>
      <c r="AB259" s="159"/>
      <c r="AC259" s="159"/>
    </row>
    <row r="260" spans="26:29" x14ac:dyDescent="0.2">
      <c r="Z260" s="159"/>
      <c r="AA260" s="159"/>
      <c r="AB260" s="159"/>
      <c r="AC260" s="159"/>
    </row>
    <row r="261" spans="26:29" x14ac:dyDescent="0.2">
      <c r="Z261" s="159"/>
      <c r="AA261" s="159"/>
      <c r="AB261" s="159"/>
      <c r="AC261" s="159"/>
    </row>
    <row r="262" spans="26:29" x14ac:dyDescent="0.2">
      <c r="Z262" s="159"/>
      <c r="AA262" s="159"/>
      <c r="AB262" s="159"/>
      <c r="AC262" s="159"/>
    </row>
    <row r="263" spans="26:29" x14ac:dyDescent="0.2">
      <c r="Z263" s="159"/>
      <c r="AA263" s="159"/>
      <c r="AB263" s="159"/>
      <c r="AC263" s="159"/>
    </row>
    <row r="264" spans="26:29" x14ac:dyDescent="0.2">
      <c r="Z264" s="159"/>
      <c r="AA264" s="159"/>
      <c r="AB264" s="159"/>
      <c r="AC264" s="159"/>
    </row>
    <row r="265" spans="26:29" x14ac:dyDescent="0.2">
      <c r="Z265" s="159"/>
      <c r="AA265" s="159"/>
      <c r="AB265" s="159"/>
      <c r="AC265" s="159"/>
    </row>
    <row r="266" spans="26:29" x14ac:dyDescent="0.2">
      <c r="Z266" s="159"/>
      <c r="AA266" s="159"/>
      <c r="AB266" s="159"/>
      <c r="AC266" s="159"/>
    </row>
    <row r="267" spans="26:29" x14ac:dyDescent="0.2">
      <c r="Z267" s="159"/>
      <c r="AA267" s="159"/>
      <c r="AB267" s="159"/>
      <c r="AC267" s="159"/>
    </row>
    <row r="268" spans="26:29" x14ac:dyDescent="0.2">
      <c r="Z268" s="159"/>
      <c r="AA268" s="159"/>
      <c r="AB268" s="159"/>
      <c r="AC268" s="159"/>
    </row>
    <row r="269" spans="26:29" x14ac:dyDescent="0.2">
      <c r="Z269" s="159"/>
      <c r="AA269" s="159"/>
      <c r="AB269" s="159"/>
      <c r="AC269" s="159"/>
    </row>
    <row r="270" spans="26:29" x14ac:dyDescent="0.2">
      <c r="Z270" s="159"/>
      <c r="AA270" s="159"/>
      <c r="AB270" s="159"/>
      <c r="AC270" s="159"/>
    </row>
    <row r="271" spans="26:29" x14ac:dyDescent="0.2">
      <c r="Z271" s="159"/>
      <c r="AA271" s="159"/>
      <c r="AB271" s="159"/>
      <c r="AC271" s="159"/>
    </row>
    <row r="272" spans="26:29" x14ac:dyDescent="0.2">
      <c r="Z272" s="159"/>
      <c r="AA272" s="159"/>
      <c r="AB272" s="159"/>
      <c r="AC272" s="159"/>
    </row>
    <row r="273" spans="26:29" x14ac:dyDescent="0.2">
      <c r="Z273" s="159"/>
      <c r="AA273" s="159"/>
      <c r="AB273" s="159"/>
      <c r="AC273" s="159"/>
    </row>
    <row r="274" spans="26:29" x14ac:dyDescent="0.2">
      <c r="Z274" s="160"/>
      <c r="AA274" s="159"/>
      <c r="AB274" s="159"/>
      <c r="AC274" s="159"/>
    </row>
    <row r="275" spans="26:29" x14ac:dyDescent="0.2">
      <c r="Z275" s="160"/>
      <c r="AA275" s="159"/>
      <c r="AB275" s="159"/>
      <c r="AC275" s="159"/>
    </row>
    <row r="276" spans="26:29" x14ac:dyDescent="0.2">
      <c r="Z276" s="160"/>
      <c r="AA276" s="159"/>
      <c r="AB276" s="159"/>
      <c r="AC276" s="159"/>
    </row>
    <row r="277" spans="26:29" x14ac:dyDescent="0.2">
      <c r="Z277" s="160"/>
      <c r="AA277" s="159"/>
      <c r="AB277" s="159"/>
      <c r="AC277" s="159"/>
    </row>
    <row r="278" spans="26:29" x14ac:dyDescent="0.2">
      <c r="Z278" s="160"/>
      <c r="AA278" s="159"/>
      <c r="AB278" s="159"/>
      <c r="AC278" s="159"/>
    </row>
    <row r="279" spans="26:29" x14ac:dyDescent="0.2">
      <c r="Z279" s="160"/>
      <c r="AA279" s="159"/>
      <c r="AB279" s="159"/>
      <c r="AC279" s="159"/>
    </row>
    <row r="280" spans="26:29" x14ac:dyDescent="0.2">
      <c r="Z280" s="160"/>
      <c r="AA280" s="159"/>
      <c r="AB280" s="159"/>
      <c r="AC280" s="159"/>
    </row>
    <row r="281" spans="26:29" x14ac:dyDescent="0.2">
      <c r="Z281" s="160"/>
      <c r="AA281" s="159"/>
      <c r="AB281" s="159"/>
      <c r="AC281" s="159"/>
    </row>
    <row r="282" spans="26:29" x14ac:dyDescent="0.2">
      <c r="Z282" s="160"/>
      <c r="AA282" s="159"/>
      <c r="AB282" s="159"/>
      <c r="AC282" s="159"/>
    </row>
    <row r="283" spans="26:29" x14ac:dyDescent="0.2">
      <c r="Z283" s="160"/>
      <c r="AA283" s="159"/>
      <c r="AB283" s="159"/>
      <c r="AC283" s="159"/>
    </row>
    <row r="284" spans="26:29" x14ac:dyDescent="0.2">
      <c r="Z284" s="160"/>
      <c r="AA284" s="159"/>
      <c r="AB284" s="159"/>
      <c r="AC284" s="161"/>
    </row>
    <row r="285" spans="26:29" x14ac:dyDescent="0.2">
      <c r="Z285" s="160"/>
      <c r="AA285" s="159"/>
      <c r="AB285" s="159"/>
      <c r="AC285" s="161"/>
    </row>
    <row r="286" spans="26:29" x14ac:dyDescent="0.2">
      <c r="Z286" s="160"/>
      <c r="AA286" s="159"/>
      <c r="AB286" s="159"/>
      <c r="AC286" s="161"/>
    </row>
    <row r="287" spans="26:29" x14ac:dyDescent="0.2">
      <c r="Z287" s="160"/>
      <c r="AA287" s="159"/>
      <c r="AB287" s="159"/>
      <c r="AC287" s="161"/>
    </row>
    <row r="288" spans="26:29" x14ac:dyDescent="0.2">
      <c r="Z288" s="160"/>
      <c r="AA288" s="159"/>
      <c r="AB288" s="159"/>
      <c r="AC288" s="161"/>
    </row>
    <row r="289" spans="26:29" x14ac:dyDescent="0.2">
      <c r="Z289" s="160"/>
      <c r="AA289" s="159"/>
      <c r="AB289" s="159"/>
      <c r="AC289" s="161"/>
    </row>
    <row r="290" spans="26:29" x14ac:dyDescent="0.2">
      <c r="Z290" s="160"/>
      <c r="AA290" s="159"/>
      <c r="AB290" s="159"/>
      <c r="AC290" s="161"/>
    </row>
    <row r="291" spans="26:29" x14ac:dyDescent="0.2">
      <c r="Z291" s="160"/>
      <c r="AA291" s="159"/>
      <c r="AB291" s="159"/>
      <c r="AC291" s="161"/>
    </row>
    <row r="292" spans="26:29" x14ac:dyDescent="0.2">
      <c r="Z292" s="160"/>
      <c r="AA292" s="159"/>
      <c r="AB292" s="159"/>
      <c r="AC292" s="161"/>
    </row>
    <row r="293" spans="26:29" x14ac:dyDescent="0.2">
      <c r="Z293" s="160"/>
      <c r="AA293" s="159"/>
      <c r="AB293" s="159"/>
      <c r="AC293" s="161"/>
    </row>
    <row r="294" spans="26:29" x14ac:dyDescent="0.2">
      <c r="Z294" s="160"/>
      <c r="AA294" s="159"/>
      <c r="AB294" s="159"/>
      <c r="AC294" s="161"/>
    </row>
    <row r="295" spans="26:29" x14ac:dyDescent="0.2">
      <c r="Z295" s="160"/>
      <c r="AA295" s="159"/>
      <c r="AB295" s="159"/>
      <c r="AC295" s="161"/>
    </row>
    <row r="296" spans="26:29" x14ac:dyDescent="0.2">
      <c r="Z296" s="160"/>
      <c r="AA296" s="159"/>
      <c r="AB296" s="159"/>
      <c r="AC296" s="159"/>
    </row>
    <row r="297" spans="26:29" x14ac:dyDescent="0.2">
      <c r="Z297" s="160"/>
      <c r="AA297" s="159"/>
      <c r="AB297" s="159"/>
      <c r="AC297" s="159"/>
    </row>
    <row r="298" spans="26:29" x14ac:dyDescent="0.2">
      <c r="Z298" s="160"/>
      <c r="AA298" s="159"/>
      <c r="AB298" s="159"/>
      <c r="AC298" s="159"/>
    </row>
    <row r="299" spans="26:29" x14ac:dyDescent="0.2">
      <c r="Z299" s="160"/>
      <c r="AA299" s="159"/>
      <c r="AB299" s="159"/>
      <c r="AC299" s="159"/>
    </row>
    <row r="300" spans="26:29" x14ac:dyDescent="0.2">
      <c r="Z300" s="160"/>
      <c r="AA300" s="159"/>
      <c r="AB300" s="159"/>
      <c r="AC300" s="159"/>
    </row>
    <row r="301" spans="26:29" x14ac:dyDescent="0.2">
      <c r="Z301" s="160"/>
      <c r="AA301" s="159"/>
      <c r="AB301" s="159"/>
      <c r="AC301" s="159"/>
    </row>
    <row r="302" spans="26:29" x14ac:dyDescent="0.2">
      <c r="Z302" s="160"/>
      <c r="AA302" s="159"/>
      <c r="AB302" s="159"/>
      <c r="AC302" s="159"/>
    </row>
    <row r="303" spans="26:29" x14ac:dyDescent="0.2">
      <c r="Z303" s="160"/>
      <c r="AA303" s="159"/>
      <c r="AB303" s="159"/>
      <c r="AC303" s="159"/>
    </row>
    <row r="304" spans="26:29" x14ac:dyDescent="0.2">
      <c r="Z304" s="160"/>
      <c r="AA304" s="159"/>
      <c r="AB304" s="159"/>
      <c r="AC304" s="159"/>
    </row>
    <row r="305" spans="26:29" x14ac:dyDescent="0.2">
      <c r="Z305" s="160"/>
      <c r="AA305" s="159"/>
      <c r="AB305" s="159"/>
      <c r="AC305" s="159"/>
    </row>
    <row r="306" spans="26:29" x14ac:dyDescent="0.2">
      <c r="Z306" s="160"/>
      <c r="AA306" s="159"/>
      <c r="AB306" s="159"/>
      <c r="AC306" s="159"/>
    </row>
    <row r="307" spans="26:29" x14ac:dyDescent="0.2">
      <c r="Z307" s="160"/>
      <c r="AA307" s="159"/>
      <c r="AB307" s="159"/>
      <c r="AC307" s="161"/>
    </row>
    <row r="308" spans="26:29" x14ac:dyDescent="0.2">
      <c r="Z308" s="160"/>
      <c r="AA308" s="159"/>
      <c r="AB308" s="159"/>
      <c r="AC308" s="161"/>
    </row>
    <row r="309" spans="26:29" x14ac:dyDescent="0.2">
      <c r="Z309" s="160"/>
      <c r="AA309" s="159"/>
      <c r="AB309" s="159"/>
      <c r="AC309" s="161"/>
    </row>
    <row r="310" spans="26:29" x14ac:dyDescent="0.2">
      <c r="Z310" s="160"/>
      <c r="AA310" s="159"/>
      <c r="AB310" s="159"/>
      <c r="AC310" s="161"/>
    </row>
    <row r="311" spans="26:29" x14ac:dyDescent="0.2">
      <c r="Z311" s="160"/>
      <c r="AA311" s="159"/>
      <c r="AB311" s="159"/>
      <c r="AC311" s="161"/>
    </row>
    <row r="312" spans="26:29" x14ac:dyDescent="0.2">
      <c r="Z312" s="160"/>
      <c r="AA312" s="159"/>
      <c r="AB312" s="159"/>
      <c r="AC312" s="161"/>
    </row>
    <row r="313" spans="26:29" x14ac:dyDescent="0.2">
      <c r="Z313" s="160"/>
      <c r="AA313" s="159"/>
      <c r="AB313" s="159"/>
      <c r="AC313" s="161"/>
    </row>
    <row r="314" spans="26:29" x14ac:dyDescent="0.2">
      <c r="Z314" s="160"/>
      <c r="AA314" s="159"/>
      <c r="AB314" s="159"/>
      <c r="AC314" s="161"/>
    </row>
    <row r="315" spans="26:29" x14ac:dyDescent="0.2">
      <c r="Z315" s="160"/>
      <c r="AA315" s="159"/>
      <c r="AB315" s="159"/>
      <c r="AC315" s="161"/>
    </row>
    <row r="316" spans="26:29" x14ac:dyDescent="0.2">
      <c r="Z316" s="160"/>
      <c r="AA316" s="159"/>
      <c r="AB316" s="159"/>
      <c r="AC316" s="161"/>
    </row>
    <row r="317" spans="26:29" x14ac:dyDescent="0.2">
      <c r="Z317" s="160"/>
      <c r="AA317" s="159"/>
      <c r="AB317" s="159"/>
      <c r="AC317" s="161"/>
    </row>
    <row r="318" spans="26:29" x14ac:dyDescent="0.2">
      <c r="Z318" s="160"/>
      <c r="AA318" s="159"/>
      <c r="AB318" s="159"/>
      <c r="AC318" s="161"/>
    </row>
    <row r="319" spans="26:29" x14ac:dyDescent="0.2">
      <c r="Z319" s="159"/>
      <c r="AA319" s="159"/>
      <c r="AB319" s="159"/>
      <c r="AC319" s="159"/>
    </row>
    <row r="320" spans="26:29" x14ac:dyDescent="0.2">
      <c r="Z320" s="159"/>
      <c r="AA320" s="159"/>
      <c r="AB320" s="159"/>
      <c r="AC320" s="159"/>
    </row>
    <row r="321" spans="26:29" x14ac:dyDescent="0.2">
      <c r="Z321" s="159"/>
      <c r="AA321" s="159"/>
      <c r="AB321" s="159"/>
      <c r="AC321" s="159"/>
    </row>
    <row r="322" spans="26:29" x14ac:dyDescent="0.2">
      <c r="Z322" s="159"/>
      <c r="AA322" s="159"/>
      <c r="AB322" s="159"/>
      <c r="AC322" s="159"/>
    </row>
    <row r="323" spans="26:29" x14ac:dyDescent="0.2">
      <c r="Z323" s="159"/>
      <c r="AA323" s="159"/>
      <c r="AB323" s="159"/>
      <c r="AC323" s="159"/>
    </row>
    <row r="324" spans="26:29" x14ac:dyDescent="0.2">
      <c r="Z324" s="159"/>
      <c r="AA324" s="159"/>
      <c r="AB324" s="159"/>
      <c r="AC324" s="159"/>
    </row>
    <row r="325" spans="26:29" x14ac:dyDescent="0.2">
      <c r="Z325" s="159"/>
      <c r="AA325" s="159"/>
      <c r="AB325" s="159"/>
      <c r="AC325" s="159"/>
    </row>
    <row r="326" spans="26:29" x14ac:dyDescent="0.2">
      <c r="Z326" s="159"/>
      <c r="AA326" s="159"/>
      <c r="AB326" s="159"/>
      <c r="AC326" s="159"/>
    </row>
    <row r="327" spans="26:29" x14ac:dyDescent="0.2">
      <c r="Z327" s="159"/>
      <c r="AA327" s="159"/>
      <c r="AB327" s="159"/>
      <c r="AC327" s="159"/>
    </row>
    <row r="328" spans="26:29" x14ac:dyDescent="0.2">
      <c r="Z328" s="159"/>
      <c r="AA328" s="159"/>
      <c r="AB328" s="159"/>
      <c r="AC328" s="159"/>
    </row>
    <row r="329" spans="26:29" x14ac:dyDescent="0.2">
      <c r="Z329" s="159"/>
      <c r="AA329" s="159"/>
      <c r="AB329" s="159"/>
      <c r="AC329" s="159"/>
    </row>
    <row r="330" spans="26:29" x14ac:dyDescent="0.2">
      <c r="Z330" s="159"/>
      <c r="AA330" s="159"/>
      <c r="AB330" s="159"/>
      <c r="AC330" s="159"/>
    </row>
    <row r="331" spans="26:29" x14ac:dyDescent="0.2">
      <c r="Z331" s="159"/>
      <c r="AA331" s="159"/>
      <c r="AB331" s="159"/>
      <c r="AC331" s="159"/>
    </row>
    <row r="332" spans="26:29" x14ac:dyDescent="0.2">
      <c r="Z332" s="159"/>
      <c r="AA332" s="159"/>
      <c r="AB332" s="159"/>
      <c r="AC332" s="159"/>
    </row>
    <row r="333" spans="26:29" x14ac:dyDescent="0.2">
      <c r="Z333" s="159"/>
      <c r="AA333" s="159"/>
      <c r="AB333" s="159"/>
      <c r="AC333" s="159"/>
    </row>
    <row r="334" spans="26:29" x14ac:dyDescent="0.2">
      <c r="Z334" s="159"/>
      <c r="AA334" s="159"/>
      <c r="AB334" s="159"/>
      <c r="AC334" s="159"/>
    </row>
    <row r="335" spans="26:29" x14ac:dyDescent="0.2">
      <c r="Z335" s="159"/>
      <c r="AA335" s="159"/>
      <c r="AB335" s="159"/>
      <c r="AC335" s="159"/>
    </row>
    <row r="336" spans="26:29" x14ac:dyDescent="0.2">
      <c r="Z336" s="159"/>
      <c r="AA336" s="159"/>
      <c r="AB336" s="159"/>
      <c r="AC336" s="159"/>
    </row>
    <row r="337" spans="26:29" x14ac:dyDescent="0.2">
      <c r="Z337" s="159"/>
      <c r="AA337" s="159"/>
      <c r="AB337" s="159"/>
      <c r="AC337" s="159"/>
    </row>
    <row r="338" spans="26:29" x14ac:dyDescent="0.2">
      <c r="Z338" s="159"/>
      <c r="AA338" s="159"/>
      <c r="AB338" s="159"/>
      <c r="AC338" s="159"/>
    </row>
    <row r="339" spans="26:29" x14ac:dyDescent="0.2">
      <c r="Z339" s="159"/>
      <c r="AA339" s="159"/>
      <c r="AB339" s="159"/>
      <c r="AC339" s="159"/>
    </row>
    <row r="340" spans="26:29" x14ac:dyDescent="0.2">
      <c r="Z340" s="159"/>
      <c r="AA340" s="159"/>
      <c r="AB340" s="159"/>
      <c r="AC340" s="159"/>
    </row>
    <row r="341" spans="26:29" x14ac:dyDescent="0.2">
      <c r="Z341" s="159"/>
      <c r="AA341" s="159"/>
      <c r="AB341" s="159"/>
      <c r="AC341" s="159"/>
    </row>
    <row r="342" spans="26:29" x14ac:dyDescent="0.2">
      <c r="Z342" s="159"/>
      <c r="AA342" s="159"/>
      <c r="AB342" s="159"/>
      <c r="AC342" s="159"/>
    </row>
    <row r="343" spans="26:29" x14ac:dyDescent="0.2">
      <c r="Z343" s="159"/>
      <c r="AA343" s="159"/>
      <c r="AB343" s="159"/>
      <c r="AC343" s="159"/>
    </row>
    <row r="344" spans="26:29" x14ac:dyDescent="0.2">
      <c r="Z344" s="159"/>
      <c r="AA344" s="159"/>
      <c r="AB344" s="159"/>
      <c r="AC344" s="159"/>
    </row>
    <row r="345" spans="26:29" x14ac:dyDescent="0.2">
      <c r="Z345" s="160"/>
      <c r="AA345" s="159"/>
      <c r="AB345" s="159"/>
      <c r="AC345" s="159"/>
    </row>
    <row r="346" spans="26:29" x14ac:dyDescent="0.2">
      <c r="Z346" s="160"/>
      <c r="AA346" s="159"/>
      <c r="AB346" s="159"/>
      <c r="AC346" s="159"/>
    </row>
    <row r="347" spans="26:29" x14ac:dyDescent="0.2">
      <c r="Z347" s="160"/>
      <c r="AA347" s="159"/>
      <c r="AB347" s="159"/>
      <c r="AC347" s="159"/>
    </row>
    <row r="348" spans="26:29" x14ac:dyDescent="0.2">
      <c r="Z348" s="160"/>
      <c r="AA348" s="159"/>
      <c r="AB348" s="159"/>
      <c r="AC348" s="159"/>
    </row>
    <row r="349" spans="26:29" x14ac:dyDescent="0.2">
      <c r="Z349" s="160"/>
      <c r="AA349" s="159"/>
      <c r="AB349" s="159"/>
      <c r="AC349" s="159"/>
    </row>
    <row r="350" spans="26:29" x14ac:dyDescent="0.2">
      <c r="Z350" s="160"/>
      <c r="AA350" s="159"/>
      <c r="AB350" s="159"/>
      <c r="AC350" s="159"/>
    </row>
    <row r="351" spans="26:29" x14ac:dyDescent="0.2">
      <c r="Z351" s="160"/>
      <c r="AA351" s="159"/>
      <c r="AB351" s="159"/>
      <c r="AC351" s="159"/>
    </row>
    <row r="352" spans="26:29" x14ac:dyDescent="0.2">
      <c r="Z352" s="160"/>
      <c r="AA352" s="159"/>
      <c r="AB352" s="159"/>
      <c r="AC352" s="159"/>
    </row>
    <row r="353" spans="26:29" x14ac:dyDescent="0.2">
      <c r="Z353" s="160"/>
      <c r="AA353" s="159"/>
      <c r="AB353" s="159"/>
      <c r="AC353" s="159"/>
    </row>
    <row r="354" spans="26:29" x14ac:dyDescent="0.2">
      <c r="Z354" s="160"/>
      <c r="AA354" s="159"/>
      <c r="AB354" s="159"/>
      <c r="AC354" s="159"/>
    </row>
    <row r="355" spans="26:29" x14ac:dyDescent="0.2">
      <c r="Z355" s="160"/>
      <c r="AA355" s="159"/>
      <c r="AB355" s="159"/>
      <c r="AC355" s="159"/>
    </row>
    <row r="356" spans="26:29" x14ac:dyDescent="0.2">
      <c r="Z356" s="160"/>
      <c r="AA356" s="159"/>
      <c r="AB356" s="159"/>
      <c r="AC356" s="161"/>
    </row>
    <row r="357" spans="26:29" x14ac:dyDescent="0.2">
      <c r="Z357" s="160"/>
      <c r="AA357" s="159"/>
      <c r="AB357" s="159"/>
      <c r="AC357" s="161"/>
    </row>
    <row r="358" spans="26:29" x14ac:dyDescent="0.2">
      <c r="Z358" s="160"/>
      <c r="AA358" s="159"/>
      <c r="AB358" s="159"/>
      <c r="AC358" s="161"/>
    </row>
    <row r="359" spans="26:29" x14ac:dyDescent="0.2">
      <c r="Z359" s="160"/>
      <c r="AA359" s="159"/>
      <c r="AB359" s="159"/>
      <c r="AC359" s="161"/>
    </row>
    <row r="360" spans="26:29" x14ac:dyDescent="0.2">
      <c r="Z360" s="160"/>
      <c r="AA360" s="159"/>
      <c r="AB360" s="159"/>
      <c r="AC360" s="161"/>
    </row>
    <row r="361" spans="26:29" x14ac:dyDescent="0.2">
      <c r="Z361" s="160"/>
      <c r="AA361" s="159"/>
      <c r="AB361" s="159"/>
      <c r="AC361" s="161"/>
    </row>
    <row r="362" spans="26:29" x14ac:dyDescent="0.2">
      <c r="Z362" s="160"/>
      <c r="AA362" s="159"/>
      <c r="AB362" s="159"/>
      <c r="AC362" s="161"/>
    </row>
    <row r="363" spans="26:29" x14ac:dyDescent="0.2">
      <c r="Z363" s="160"/>
      <c r="AA363" s="159"/>
      <c r="AB363" s="159"/>
      <c r="AC363" s="161"/>
    </row>
    <row r="364" spans="26:29" x14ac:dyDescent="0.2">
      <c r="Z364" s="160"/>
      <c r="AA364" s="159"/>
      <c r="AB364" s="159"/>
      <c r="AC364" s="161"/>
    </row>
    <row r="365" spans="26:29" x14ac:dyDescent="0.2">
      <c r="Z365" s="160"/>
      <c r="AA365" s="159"/>
      <c r="AB365" s="159"/>
      <c r="AC365" s="161"/>
    </row>
    <row r="366" spans="26:29" x14ac:dyDescent="0.2">
      <c r="Z366" s="160"/>
      <c r="AA366" s="159"/>
      <c r="AB366" s="159"/>
      <c r="AC366" s="161"/>
    </row>
    <row r="367" spans="26:29" x14ac:dyDescent="0.2">
      <c r="Z367" s="160"/>
      <c r="AA367" s="159"/>
      <c r="AB367" s="159"/>
      <c r="AC367" s="161"/>
    </row>
    <row r="368" spans="26:29" x14ac:dyDescent="0.2">
      <c r="Z368" s="160"/>
      <c r="AA368" s="159"/>
      <c r="AB368" s="159"/>
      <c r="AC368" s="159"/>
    </row>
    <row r="369" spans="26:29" x14ac:dyDescent="0.2">
      <c r="Z369" s="160"/>
      <c r="AA369" s="159"/>
      <c r="AB369" s="159"/>
      <c r="AC369" s="159"/>
    </row>
    <row r="370" spans="26:29" x14ac:dyDescent="0.2">
      <c r="Z370" s="160"/>
      <c r="AA370" s="159"/>
      <c r="AB370" s="159"/>
      <c r="AC370" s="159"/>
    </row>
    <row r="371" spans="26:29" x14ac:dyDescent="0.2">
      <c r="Z371" s="160"/>
      <c r="AA371" s="159"/>
      <c r="AB371" s="159"/>
      <c r="AC371" s="159"/>
    </row>
    <row r="372" spans="26:29" x14ac:dyDescent="0.2">
      <c r="Z372" s="160"/>
      <c r="AA372" s="159"/>
      <c r="AB372" s="159"/>
      <c r="AC372" s="159"/>
    </row>
    <row r="373" spans="26:29" x14ac:dyDescent="0.2">
      <c r="Z373" s="160"/>
      <c r="AA373" s="159"/>
      <c r="AB373" s="159"/>
      <c r="AC373" s="159"/>
    </row>
    <row r="374" spans="26:29" x14ac:dyDescent="0.2">
      <c r="Z374" s="160"/>
      <c r="AA374" s="159"/>
      <c r="AB374" s="159"/>
      <c r="AC374" s="159"/>
    </row>
    <row r="375" spans="26:29" x14ac:dyDescent="0.2">
      <c r="Z375" s="160"/>
      <c r="AA375" s="159"/>
      <c r="AB375" s="159"/>
      <c r="AC375" s="159"/>
    </row>
    <row r="376" spans="26:29" x14ac:dyDescent="0.2">
      <c r="Z376" s="160"/>
      <c r="AA376" s="159"/>
      <c r="AB376" s="159"/>
      <c r="AC376" s="159"/>
    </row>
    <row r="377" spans="26:29" x14ac:dyDescent="0.2">
      <c r="Z377" s="160"/>
      <c r="AA377" s="159"/>
      <c r="AB377" s="159"/>
      <c r="AC377" s="159"/>
    </row>
    <row r="378" spans="26:29" x14ac:dyDescent="0.2">
      <c r="Z378" s="160"/>
      <c r="AA378" s="159"/>
      <c r="AB378" s="159"/>
      <c r="AC378" s="159"/>
    </row>
    <row r="379" spans="26:29" x14ac:dyDescent="0.2">
      <c r="Z379" s="160"/>
      <c r="AA379" s="159"/>
      <c r="AB379" s="159"/>
      <c r="AC379" s="161"/>
    </row>
    <row r="380" spans="26:29" x14ac:dyDescent="0.2">
      <c r="Z380" s="160"/>
      <c r="AA380" s="159"/>
      <c r="AB380" s="159"/>
      <c r="AC380" s="161"/>
    </row>
    <row r="381" spans="26:29" x14ac:dyDescent="0.2">
      <c r="Z381" s="160"/>
      <c r="AA381" s="159"/>
      <c r="AB381" s="159"/>
      <c r="AC381" s="161"/>
    </row>
    <row r="382" spans="26:29" x14ac:dyDescent="0.2">
      <c r="Z382" s="160"/>
      <c r="AA382" s="159"/>
      <c r="AB382" s="159"/>
      <c r="AC382" s="161"/>
    </row>
    <row r="383" spans="26:29" x14ac:dyDescent="0.2">
      <c r="Z383" s="160"/>
      <c r="AA383" s="159"/>
      <c r="AB383" s="159"/>
      <c r="AC383" s="161"/>
    </row>
    <row r="384" spans="26:29" x14ac:dyDescent="0.2">
      <c r="Z384" s="160"/>
      <c r="AA384" s="159"/>
      <c r="AB384" s="159"/>
      <c r="AC384" s="161"/>
    </row>
    <row r="385" spans="26:29" x14ac:dyDescent="0.2">
      <c r="Z385" s="160"/>
      <c r="AA385" s="159"/>
      <c r="AB385" s="159"/>
      <c r="AC385" s="161"/>
    </row>
    <row r="386" spans="26:29" x14ac:dyDescent="0.2">
      <c r="Z386" s="160"/>
      <c r="AA386" s="159"/>
      <c r="AB386" s="159"/>
      <c r="AC386" s="161"/>
    </row>
    <row r="387" spans="26:29" x14ac:dyDescent="0.2">
      <c r="Z387" s="160"/>
      <c r="AA387" s="159"/>
      <c r="AB387" s="159"/>
      <c r="AC387" s="161"/>
    </row>
    <row r="388" spans="26:29" x14ac:dyDescent="0.2">
      <c r="Z388" s="160"/>
      <c r="AA388" s="159"/>
      <c r="AB388" s="159"/>
      <c r="AC388" s="161"/>
    </row>
    <row r="389" spans="26:29" x14ac:dyDescent="0.2">
      <c r="Z389" s="160"/>
      <c r="AA389" s="159"/>
      <c r="AB389" s="159"/>
      <c r="AC389" s="161"/>
    </row>
    <row r="390" spans="26:29" x14ac:dyDescent="0.2">
      <c r="Z390" s="160"/>
      <c r="AA390" s="159"/>
      <c r="AB390" s="159"/>
      <c r="AC390" s="161"/>
    </row>
    <row r="391" spans="26:29" x14ac:dyDescent="0.2">
      <c r="Z391" s="159"/>
      <c r="AA391" s="159"/>
      <c r="AB391" s="159"/>
      <c r="AC391" s="159"/>
    </row>
    <row r="392" spans="26:29" x14ac:dyDescent="0.2">
      <c r="Z392" s="159"/>
      <c r="AA392" s="159"/>
      <c r="AB392" s="159"/>
      <c r="AC392" s="159"/>
    </row>
    <row r="393" spans="26:29" x14ac:dyDescent="0.2">
      <c r="Z393" s="159"/>
      <c r="AA393" s="159"/>
      <c r="AB393" s="159"/>
      <c r="AC393" s="159"/>
    </row>
    <row r="394" spans="26:29" x14ac:dyDescent="0.2">
      <c r="Z394" s="159"/>
      <c r="AA394" s="159"/>
      <c r="AB394" s="159"/>
      <c r="AC394" s="159"/>
    </row>
    <row r="395" spans="26:29" x14ac:dyDescent="0.2">
      <c r="Z395" s="159"/>
      <c r="AA395" s="159"/>
      <c r="AB395" s="159"/>
      <c r="AC395" s="159"/>
    </row>
    <row r="396" spans="26:29" x14ac:dyDescent="0.2">
      <c r="Z396" s="159"/>
      <c r="AA396" s="159"/>
      <c r="AB396" s="159"/>
      <c r="AC396" s="159"/>
    </row>
    <row r="397" spans="26:29" x14ac:dyDescent="0.2">
      <c r="Z397" s="159"/>
      <c r="AA397" s="159"/>
      <c r="AB397" s="159"/>
      <c r="AC397" s="159"/>
    </row>
    <row r="398" spans="26:29" x14ac:dyDescent="0.2">
      <c r="Z398" s="159"/>
      <c r="AA398" s="159"/>
      <c r="AB398" s="159"/>
      <c r="AC398" s="159"/>
    </row>
    <row r="399" spans="26:29" x14ac:dyDescent="0.2">
      <c r="Z399" s="159"/>
      <c r="AA399" s="159"/>
      <c r="AB399" s="159"/>
      <c r="AC399" s="159"/>
    </row>
    <row r="400" spans="26:29" x14ac:dyDescent="0.2">
      <c r="Z400" s="159"/>
      <c r="AA400" s="159"/>
      <c r="AB400" s="159"/>
      <c r="AC400" s="159"/>
    </row>
    <row r="401" spans="26:29" x14ac:dyDescent="0.2">
      <c r="Z401" s="159"/>
      <c r="AA401" s="159"/>
      <c r="AB401" s="159"/>
      <c r="AC401" s="159"/>
    </row>
    <row r="402" spans="26:29" x14ac:dyDescent="0.2">
      <c r="Z402" s="159"/>
      <c r="AA402" s="159"/>
      <c r="AB402" s="159"/>
      <c r="AC402" s="159"/>
    </row>
    <row r="403" spans="26:29" x14ac:dyDescent="0.2">
      <c r="Z403" s="159"/>
      <c r="AA403" s="159"/>
      <c r="AB403" s="159"/>
      <c r="AC403" s="159"/>
    </row>
    <row r="404" spans="26:29" x14ac:dyDescent="0.2">
      <c r="Z404" s="160"/>
      <c r="AA404" s="159"/>
      <c r="AB404" s="159"/>
      <c r="AC404" s="161"/>
    </row>
    <row r="405" spans="26:29" x14ac:dyDescent="0.2">
      <c r="Z405" s="160"/>
      <c r="AA405" s="159"/>
      <c r="AB405" s="159"/>
      <c r="AC405" s="161"/>
    </row>
    <row r="406" spans="26:29" x14ac:dyDescent="0.2">
      <c r="Z406" s="160"/>
      <c r="AA406" s="159"/>
      <c r="AB406" s="159"/>
      <c r="AC406" s="161"/>
    </row>
    <row r="407" spans="26:29" x14ac:dyDescent="0.2">
      <c r="Z407" s="160"/>
      <c r="AA407" s="159"/>
      <c r="AB407" s="159"/>
      <c r="AC407" s="161"/>
    </row>
    <row r="408" spans="26:29" x14ac:dyDescent="0.2">
      <c r="Z408" s="160"/>
      <c r="AA408" s="159"/>
      <c r="AB408" s="159"/>
      <c r="AC408" s="161"/>
    </row>
    <row r="409" spans="26:29" x14ac:dyDescent="0.2">
      <c r="Z409" s="160"/>
      <c r="AA409" s="159"/>
      <c r="AB409" s="159"/>
      <c r="AC409" s="161"/>
    </row>
    <row r="410" spans="26:29" x14ac:dyDescent="0.2">
      <c r="Z410" s="160"/>
      <c r="AA410" s="159"/>
      <c r="AB410" s="159"/>
      <c r="AC410" s="161"/>
    </row>
    <row r="411" spans="26:29" x14ac:dyDescent="0.2">
      <c r="Z411" s="160"/>
      <c r="AA411" s="159"/>
      <c r="AB411" s="159"/>
      <c r="AC411" s="161"/>
    </row>
    <row r="412" spans="26:29" x14ac:dyDescent="0.2">
      <c r="Z412" s="160"/>
      <c r="AA412" s="159"/>
      <c r="AB412" s="159"/>
      <c r="AC412" s="161"/>
    </row>
    <row r="413" spans="26:29" x14ac:dyDescent="0.2">
      <c r="Z413" s="160"/>
      <c r="AA413" s="159"/>
      <c r="AB413" s="159"/>
      <c r="AC413" s="161"/>
    </row>
    <row r="414" spans="26:29" x14ac:dyDescent="0.2">
      <c r="Z414" s="160"/>
      <c r="AA414" s="159"/>
      <c r="AB414" s="159"/>
      <c r="AC414" s="161"/>
    </row>
    <row r="415" spans="26:29" x14ac:dyDescent="0.2">
      <c r="Z415" s="160"/>
      <c r="AA415" s="159"/>
      <c r="AB415" s="159"/>
      <c r="AC415" s="161"/>
    </row>
    <row r="416" spans="26:29" x14ac:dyDescent="0.2">
      <c r="Z416" s="159"/>
      <c r="AA416" s="159"/>
      <c r="AB416" s="159"/>
      <c r="AC416" s="159"/>
    </row>
    <row r="417" spans="26:29" x14ac:dyDescent="0.2">
      <c r="Z417" s="159"/>
      <c r="AA417" s="159"/>
      <c r="AB417" s="159"/>
      <c r="AC417" s="159"/>
    </row>
    <row r="418" spans="26:29" x14ac:dyDescent="0.2">
      <c r="Z418" s="159"/>
      <c r="AA418" s="159"/>
      <c r="AB418" s="159"/>
      <c r="AC418" s="159"/>
    </row>
    <row r="419" spans="26:29" x14ac:dyDescent="0.2">
      <c r="Z419" s="159"/>
      <c r="AA419" s="159"/>
      <c r="AB419" s="159"/>
      <c r="AC419" s="159"/>
    </row>
    <row r="420" spans="26:29" x14ac:dyDescent="0.2">
      <c r="Z420" s="159"/>
      <c r="AA420" s="159"/>
      <c r="AB420" s="159"/>
      <c r="AC420" s="159"/>
    </row>
    <row r="421" spans="26:29" x14ac:dyDescent="0.2">
      <c r="Z421" s="159"/>
      <c r="AA421" s="159"/>
      <c r="AB421" s="159"/>
      <c r="AC421" s="159"/>
    </row>
    <row r="422" spans="26:29" x14ac:dyDescent="0.2">
      <c r="Z422" s="159"/>
      <c r="AA422" s="159"/>
      <c r="AB422" s="159"/>
      <c r="AC422" s="159"/>
    </row>
    <row r="423" spans="26:29" x14ac:dyDescent="0.2">
      <c r="Z423" s="159"/>
      <c r="AA423" s="159"/>
      <c r="AB423" s="159"/>
      <c r="AC423" s="159"/>
    </row>
    <row r="424" spans="26:29" x14ac:dyDescent="0.2">
      <c r="Z424" s="159"/>
      <c r="AA424" s="159"/>
      <c r="AB424" s="159"/>
      <c r="AC424" s="159"/>
    </row>
    <row r="425" spans="26:29" x14ac:dyDescent="0.2">
      <c r="Z425" s="159"/>
      <c r="AA425" s="159"/>
      <c r="AB425" s="159"/>
      <c r="AC425" s="159"/>
    </row>
    <row r="426" spans="26:29" x14ac:dyDescent="0.2">
      <c r="Z426" s="159"/>
      <c r="AA426" s="159"/>
      <c r="AB426" s="159"/>
      <c r="AC426" s="159"/>
    </row>
    <row r="427" spans="26:29" x14ac:dyDescent="0.2">
      <c r="Z427" s="159"/>
      <c r="AA427" s="159"/>
      <c r="AB427" s="159"/>
      <c r="AC427" s="159"/>
    </row>
    <row r="428" spans="26:29" x14ac:dyDescent="0.2">
      <c r="Z428" s="159"/>
      <c r="AA428" s="159"/>
      <c r="AB428" s="159"/>
      <c r="AC428" s="159"/>
    </row>
    <row r="429" spans="26:29" x14ac:dyDescent="0.2">
      <c r="Z429" s="159"/>
      <c r="AA429" s="159"/>
      <c r="AB429" s="159"/>
      <c r="AC429" s="159"/>
    </row>
    <row r="430" spans="26:29" x14ac:dyDescent="0.2">
      <c r="Z430" s="159"/>
      <c r="AA430" s="159"/>
      <c r="AB430" s="159"/>
      <c r="AC430" s="159"/>
    </row>
    <row r="431" spans="26:29" x14ac:dyDescent="0.2">
      <c r="Z431" s="159"/>
      <c r="AA431" s="159"/>
      <c r="AB431" s="159"/>
      <c r="AC431" s="159"/>
    </row>
    <row r="432" spans="26:29" x14ac:dyDescent="0.2">
      <c r="Z432" s="159"/>
      <c r="AA432" s="159"/>
      <c r="AB432" s="159"/>
      <c r="AC432" s="159"/>
    </row>
    <row r="433" spans="26:29" x14ac:dyDescent="0.2">
      <c r="Z433" s="159"/>
      <c r="AA433" s="159"/>
      <c r="AB433" s="159"/>
      <c r="AC433" s="159"/>
    </row>
    <row r="434" spans="26:29" x14ac:dyDescent="0.2">
      <c r="Z434" s="159"/>
      <c r="AA434" s="159"/>
      <c r="AB434" s="159"/>
      <c r="AC434" s="159"/>
    </row>
    <row r="435" spans="26:29" x14ac:dyDescent="0.2">
      <c r="Z435" s="159"/>
      <c r="AA435" s="159"/>
      <c r="AB435" s="159"/>
      <c r="AC435" s="159"/>
    </row>
    <row r="436" spans="26:29" x14ac:dyDescent="0.2">
      <c r="Z436" s="159"/>
      <c r="AA436" s="159"/>
      <c r="AB436" s="159"/>
      <c r="AC436" s="159"/>
    </row>
    <row r="437" spans="26:29" x14ac:dyDescent="0.2">
      <c r="Z437" s="159"/>
      <c r="AA437" s="159"/>
      <c r="AB437" s="159"/>
      <c r="AC437" s="159"/>
    </row>
    <row r="438" spans="26:29" x14ac:dyDescent="0.2">
      <c r="Z438" s="159"/>
      <c r="AA438" s="159"/>
      <c r="AB438" s="159"/>
      <c r="AC438" s="159"/>
    </row>
    <row r="439" spans="26:29" x14ac:dyDescent="0.2">
      <c r="Z439" s="159"/>
      <c r="AA439" s="159"/>
      <c r="AB439" s="159"/>
      <c r="AC439" s="159"/>
    </row>
    <row r="440" spans="26:29" x14ac:dyDescent="0.2">
      <c r="Z440" s="159"/>
      <c r="AA440" s="159"/>
      <c r="AB440" s="159"/>
      <c r="AC440" s="159"/>
    </row>
    <row r="441" spans="26:29" x14ac:dyDescent="0.2">
      <c r="Z441" s="159"/>
      <c r="AA441" s="159"/>
      <c r="AB441" s="159"/>
      <c r="AC441" s="159"/>
    </row>
    <row r="442" spans="26:29" x14ac:dyDescent="0.2">
      <c r="Z442" s="159"/>
      <c r="AA442" s="159"/>
      <c r="AB442" s="159"/>
      <c r="AC442" s="159"/>
    </row>
    <row r="443" spans="26:29" x14ac:dyDescent="0.2">
      <c r="Z443" s="159"/>
      <c r="AA443" s="159"/>
      <c r="AB443" s="159"/>
      <c r="AC443" s="159"/>
    </row>
    <row r="444" spans="26:29" x14ac:dyDescent="0.2">
      <c r="Z444" s="159"/>
      <c r="AA444" s="159"/>
      <c r="AB444" s="159"/>
      <c r="AC444" s="159"/>
    </row>
    <row r="445" spans="26:29" x14ac:dyDescent="0.2">
      <c r="Z445" s="159"/>
      <c r="AA445" s="159"/>
      <c r="AB445" s="159"/>
      <c r="AC445" s="159"/>
    </row>
    <row r="446" spans="26:29" x14ac:dyDescent="0.2">
      <c r="Z446" s="159"/>
      <c r="AA446" s="159"/>
      <c r="AB446" s="159"/>
      <c r="AC446" s="159"/>
    </row>
    <row r="447" spans="26:29" x14ac:dyDescent="0.2">
      <c r="Z447" s="159"/>
      <c r="AA447" s="159"/>
      <c r="AB447" s="159"/>
      <c r="AC447" s="159"/>
    </row>
    <row r="448" spans="26:29" x14ac:dyDescent="0.2">
      <c r="Z448" s="159"/>
      <c r="AA448" s="159"/>
      <c r="AB448" s="159"/>
      <c r="AC448" s="159"/>
    </row>
    <row r="449" spans="26:29" x14ac:dyDescent="0.2">
      <c r="Z449" s="159"/>
      <c r="AA449" s="159"/>
      <c r="AB449" s="159"/>
      <c r="AC449" s="159"/>
    </row>
    <row r="450" spans="26:29" x14ac:dyDescent="0.2">
      <c r="Z450" s="159"/>
      <c r="AA450" s="159"/>
      <c r="AB450" s="159"/>
      <c r="AC450" s="159"/>
    </row>
    <row r="451" spans="26:29" x14ac:dyDescent="0.2">
      <c r="Z451" s="159"/>
      <c r="AA451" s="159"/>
      <c r="AB451" s="159"/>
      <c r="AC451" s="159"/>
    </row>
    <row r="452" spans="26:29" x14ac:dyDescent="0.2">
      <c r="Z452" s="159"/>
      <c r="AA452" s="159"/>
      <c r="AB452" s="159"/>
      <c r="AC452" s="159"/>
    </row>
    <row r="453" spans="26:29" x14ac:dyDescent="0.2">
      <c r="Z453" s="159"/>
      <c r="AA453" s="159"/>
      <c r="AB453" s="159"/>
      <c r="AC453" s="159"/>
    </row>
    <row r="454" spans="26:29" x14ac:dyDescent="0.2">
      <c r="Z454" s="159"/>
      <c r="AA454" s="159"/>
      <c r="AB454" s="159"/>
      <c r="AC454" s="159"/>
    </row>
    <row r="455" spans="26:29" x14ac:dyDescent="0.2">
      <c r="Z455" s="159"/>
      <c r="AA455" s="159"/>
      <c r="AB455" s="159"/>
      <c r="AC455" s="159"/>
    </row>
    <row r="456" spans="26:29" x14ac:dyDescent="0.2">
      <c r="Z456" s="159"/>
      <c r="AA456" s="159"/>
      <c r="AB456" s="159"/>
      <c r="AC456" s="159"/>
    </row>
    <row r="457" spans="26:29" x14ac:dyDescent="0.2">
      <c r="Z457" s="159"/>
      <c r="AA457" s="159"/>
      <c r="AB457" s="159"/>
      <c r="AC457" s="159"/>
    </row>
    <row r="458" spans="26:29" x14ac:dyDescent="0.2">
      <c r="Z458" s="159"/>
      <c r="AA458" s="159"/>
      <c r="AB458" s="159"/>
      <c r="AC458" s="159"/>
    </row>
    <row r="459" spans="26:29" x14ac:dyDescent="0.2">
      <c r="Z459" s="159"/>
      <c r="AA459" s="159"/>
      <c r="AB459" s="159"/>
      <c r="AC459" s="159"/>
    </row>
    <row r="460" spans="26:29" x14ac:dyDescent="0.2">
      <c r="Z460" s="159"/>
      <c r="AA460" s="159"/>
      <c r="AB460" s="159"/>
      <c r="AC460" s="159"/>
    </row>
    <row r="461" spans="26:29" x14ac:dyDescent="0.2">
      <c r="Z461" s="159"/>
      <c r="AA461" s="159"/>
      <c r="AB461" s="159"/>
      <c r="AC461" s="159"/>
    </row>
    <row r="462" spans="26:29" x14ac:dyDescent="0.2">
      <c r="Z462" s="159"/>
      <c r="AA462" s="159"/>
      <c r="AB462" s="159"/>
      <c r="AC462" s="159"/>
    </row>
    <row r="463" spans="26:29" x14ac:dyDescent="0.2">
      <c r="Z463" s="159"/>
      <c r="AA463" s="159"/>
      <c r="AB463" s="159"/>
      <c r="AC463" s="159"/>
    </row>
    <row r="464" spans="26:29" x14ac:dyDescent="0.2">
      <c r="Z464" s="159"/>
      <c r="AA464" s="159"/>
      <c r="AB464" s="159"/>
      <c r="AC464" s="159"/>
    </row>
    <row r="465" spans="26:29" x14ac:dyDescent="0.2">
      <c r="Z465" s="159"/>
      <c r="AA465" s="159"/>
      <c r="AB465" s="159"/>
      <c r="AC465" s="159"/>
    </row>
    <row r="466" spans="26:29" x14ac:dyDescent="0.2">
      <c r="Z466" s="159"/>
      <c r="AA466" s="159"/>
      <c r="AB466" s="159"/>
      <c r="AC466" s="159"/>
    </row>
    <row r="467" spans="26:29" x14ac:dyDescent="0.2">
      <c r="Z467" s="159"/>
      <c r="AA467" s="159"/>
      <c r="AB467" s="159"/>
      <c r="AC467" s="159"/>
    </row>
    <row r="468" spans="26:29" x14ac:dyDescent="0.2">
      <c r="Z468" s="159"/>
      <c r="AA468" s="159"/>
      <c r="AB468" s="159"/>
      <c r="AC468" s="159"/>
    </row>
    <row r="469" spans="26:29" x14ac:dyDescent="0.2">
      <c r="Z469" s="159"/>
      <c r="AA469" s="159"/>
      <c r="AB469" s="159"/>
      <c r="AC469" s="159"/>
    </row>
    <row r="470" spans="26:29" x14ac:dyDescent="0.2">
      <c r="Z470" s="159"/>
      <c r="AA470" s="159"/>
      <c r="AB470" s="159"/>
      <c r="AC470" s="159"/>
    </row>
    <row r="471" spans="26:29" x14ac:dyDescent="0.2">
      <c r="Z471" s="159"/>
      <c r="AA471" s="159"/>
      <c r="AB471" s="159"/>
      <c r="AC471" s="159"/>
    </row>
    <row r="472" spans="26:29" x14ac:dyDescent="0.2">
      <c r="Z472" s="159"/>
      <c r="AA472" s="159"/>
      <c r="AB472" s="159"/>
      <c r="AC472" s="159"/>
    </row>
    <row r="473" spans="26:29" x14ac:dyDescent="0.2">
      <c r="Z473" s="159"/>
      <c r="AA473" s="159"/>
      <c r="AB473" s="159"/>
      <c r="AC473" s="159"/>
    </row>
    <row r="474" spans="26:29" x14ac:dyDescent="0.2">
      <c r="Z474" s="159"/>
      <c r="AA474" s="159"/>
      <c r="AB474" s="159"/>
      <c r="AC474" s="159"/>
    </row>
    <row r="475" spans="26:29" x14ac:dyDescent="0.2">
      <c r="Z475" s="159"/>
      <c r="AA475" s="159"/>
      <c r="AB475" s="159"/>
      <c r="AC475" s="159"/>
    </row>
    <row r="476" spans="26:29" x14ac:dyDescent="0.2">
      <c r="Z476" s="159"/>
      <c r="AA476" s="159"/>
      <c r="AB476" s="159"/>
      <c r="AC476" s="159"/>
    </row>
    <row r="477" spans="26:29" x14ac:dyDescent="0.2">
      <c r="Z477" s="159"/>
      <c r="AA477" s="159"/>
      <c r="AB477" s="159"/>
      <c r="AC477" s="159"/>
    </row>
    <row r="478" spans="26:29" x14ac:dyDescent="0.2">
      <c r="Z478" s="159"/>
      <c r="AA478" s="159"/>
      <c r="AB478" s="159"/>
      <c r="AC478" s="159"/>
    </row>
    <row r="479" spans="26:29" x14ac:dyDescent="0.2">
      <c r="Z479" s="159"/>
      <c r="AA479" s="159"/>
      <c r="AB479" s="159"/>
      <c r="AC479" s="159"/>
    </row>
    <row r="480" spans="26:29" x14ac:dyDescent="0.2">
      <c r="Z480" s="159"/>
      <c r="AA480" s="159"/>
      <c r="AB480" s="159"/>
      <c r="AC480" s="159"/>
    </row>
    <row r="481" spans="26:29" x14ac:dyDescent="0.2">
      <c r="Z481" s="159"/>
      <c r="AA481" s="159"/>
      <c r="AB481" s="159"/>
      <c r="AC481" s="159"/>
    </row>
    <row r="482" spans="26:29" x14ac:dyDescent="0.2">
      <c r="Z482" s="159"/>
      <c r="AA482" s="159"/>
      <c r="AB482" s="159"/>
      <c r="AC482" s="159"/>
    </row>
    <row r="483" spans="26:29" x14ac:dyDescent="0.2">
      <c r="Z483" s="159"/>
      <c r="AA483" s="159"/>
      <c r="AB483" s="159"/>
      <c r="AC483" s="159"/>
    </row>
    <row r="484" spans="26:29" x14ac:dyDescent="0.2">
      <c r="Z484" s="159"/>
      <c r="AA484" s="159"/>
      <c r="AB484" s="159"/>
      <c r="AC484" s="159"/>
    </row>
    <row r="485" spans="26:29" x14ac:dyDescent="0.2">
      <c r="Z485" s="159"/>
      <c r="AA485" s="159"/>
      <c r="AB485" s="159"/>
      <c r="AC485" s="159"/>
    </row>
    <row r="486" spans="26:29" x14ac:dyDescent="0.2">
      <c r="Z486" s="159"/>
      <c r="AA486" s="159"/>
      <c r="AB486" s="159"/>
      <c r="AC486" s="159"/>
    </row>
    <row r="487" spans="26:29" x14ac:dyDescent="0.2">
      <c r="Z487" s="159"/>
      <c r="AA487" s="159"/>
      <c r="AB487" s="159"/>
      <c r="AC487" s="159"/>
    </row>
    <row r="488" spans="26:29" x14ac:dyDescent="0.2">
      <c r="Z488" s="159"/>
      <c r="AA488" s="159"/>
      <c r="AB488" s="159"/>
      <c r="AC488" s="159"/>
    </row>
    <row r="489" spans="26:29" x14ac:dyDescent="0.2">
      <c r="Z489" s="159"/>
      <c r="AA489" s="159"/>
      <c r="AB489" s="159"/>
      <c r="AC489" s="159"/>
    </row>
    <row r="490" spans="26:29" x14ac:dyDescent="0.2">
      <c r="Z490" s="159"/>
      <c r="AA490" s="159"/>
      <c r="AB490" s="159"/>
      <c r="AC490" s="159"/>
    </row>
    <row r="491" spans="26:29" x14ac:dyDescent="0.2">
      <c r="Z491" s="159"/>
      <c r="AA491" s="159"/>
      <c r="AB491" s="159"/>
      <c r="AC491" s="159"/>
    </row>
    <row r="492" spans="26:29" x14ac:dyDescent="0.2">
      <c r="Z492" s="159"/>
      <c r="AA492" s="159"/>
      <c r="AB492" s="159"/>
      <c r="AC492" s="159"/>
    </row>
    <row r="493" spans="26:29" x14ac:dyDescent="0.2">
      <c r="Z493" s="159"/>
      <c r="AA493" s="159"/>
      <c r="AB493" s="159"/>
      <c r="AC493" s="159"/>
    </row>
    <row r="494" spans="26:29" x14ac:dyDescent="0.2">
      <c r="Z494" s="159"/>
      <c r="AA494" s="159"/>
      <c r="AB494" s="159"/>
      <c r="AC494" s="159"/>
    </row>
    <row r="495" spans="26:29" x14ac:dyDescent="0.2">
      <c r="Z495" s="159"/>
      <c r="AA495" s="159"/>
      <c r="AB495" s="159"/>
      <c r="AC495" s="159"/>
    </row>
    <row r="496" spans="26:29" x14ac:dyDescent="0.2">
      <c r="Z496" s="159"/>
      <c r="AA496" s="159"/>
      <c r="AB496" s="159"/>
      <c r="AC496" s="159"/>
    </row>
    <row r="497" spans="26:29" x14ac:dyDescent="0.2">
      <c r="Z497" s="159"/>
      <c r="AA497" s="159"/>
      <c r="AB497" s="159"/>
      <c r="AC497" s="159"/>
    </row>
    <row r="498" spans="26:29" x14ac:dyDescent="0.2">
      <c r="Z498" s="159"/>
      <c r="AA498" s="159"/>
      <c r="AB498" s="159"/>
      <c r="AC498" s="159"/>
    </row>
    <row r="499" spans="26:29" x14ac:dyDescent="0.2">
      <c r="Z499" s="159"/>
      <c r="AA499" s="159"/>
      <c r="AB499" s="159"/>
      <c r="AC499" s="159"/>
    </row>
    <row r="500" spans="26:29" x14ac:dyDescent="0.2">
      <c r="Z500" s="159"/>
      <c r="AA500" s="159"/>
      <c r="AB500" s="159"/>
      <c r="AC500" s="159"/>
    </row>
    <row r="501" spans="26:29" x14ac:dyDescent="0.2">
      <c r="Z501" s="159"/>
      <c r="AA501" s="159"/>
      <c r="AB501" s="159"/>
      <c r="AC501" s="159"/>
    </row>
    <row r="502" spans="26:29" x14ac:dyDescent="0.2">
      <c r="Z502" s="159"/>
      <c r="AA502" s="159"/>
      <c r="AB502" s="159"/>
      <c r="AC502" s="159"/>
    </row>
    <row r="503" spans="26:29" x14ac:dyDescent="0.2">
      <c r="Z503" s="159"/>
      <c r="AA503" s="159"/>
      <c r="AB503" s="159"/>
      <c r="AC503" s="159"/>
    </row>
    <row r="504" spans="26:29" x14ac:dyDescent="0.2">
      <c r="Z504" s="159"/>
      <c r="AA504" s="159"/>
      <c r="AB504" s="159"/>
      <c r="AC504" s="159"/>
    </row>
    <row r="505" spans="26:29" x14ac:dyDescent="0.2">
      <c r="Z505" s="159"/>
      <c r="AA505" s="159"/>
      <c r="AB505" s="159"/>
      <c r="AC505" s="159"/>
    </row>
    <row r="506" spans="26:29" x14ac:dyDescent="0.2">
      <c r="Z506" s="159"/>
      <c r="AA506" s="159"/>
      <c r="AB506" s="159"/>
      <c r="AC506" s="159"/>
    </row>
    <row r="507" spans="26:29" x14ac:dyDescent="0.2">
      <c r="Z507" s="159"/>
      <c r="AA507" s="159"/>
      <c r="AB507" s="159"/>
      <c r="AC507" s="159"/>
    </row>
    <row r="508" spans="26:29" x14ac:dyDescent="0.2">
      <c r="Z508" s="159"/>
      <c r="AA508" s="159"/>
      <c r="AB508" s="159"/>
      <c r="AC508" s="159"/>
    </row>
    <row r="509" spans="26:29" x14ac:dyDescent="0.2">
      <c r="Z509" s="159"/>
      <c r="AA509" s="159"/>
      <c r="AB509" s="159"/>
      <c r="AC509" s="159"/>
    </row>
    <row r="510" spans="26:29" x14ac:dyDescent="0.2">
      <c r="Z510" s="159"/>
      <c r="AA510" s="159"/>
      <c r="AB510" s="159"/>
      <c r="AC510" s="159"/>
    </row>
    <row r="511" spans="26:29" x14ac:dyDescent="0.2">
      <c r="Z511" s="159"/>
      <c r="AA511" s="159"/>
      <c r="AB511" s="159"/>
      <c r="AC511" s="159"/>
    </row>
    <row r="512" spans="26:29" x14ac:dyDescent="0.2">
      <c r="Z512" s="159"/>
      <c r="AA512" s="159"/>
      <c r="AB512" s="159"/>
      <c r="AC512" s="159"/>
    </row>
    <row r="513" spans="26:29" x14ac:dyDescent="0.2">
      <c r="Z513" s="159"/>
      <c r="AA513" s="159"/>
      <c r="AB513" s="159"/>
      <c r="AC513" s="159"/>
    </row>
    <row r="514" spans="26:29" x14ac:dyDescent="0.2">
      <c r="Z514" s="159"/>
      <c r="AA514" s="159"/>
      <c r="AB514" s="159"/>
      <c r="AC514" s="159"/>
    </row>
    <row r="515" spans="26:29" x14ac:dyDescent="0.2">
      <c r="Z515" s="159"/>
      <c r="AA515" s="159"/>
      <c r="AB515" s="159"/>
      <c r="AC515" s="159"/>
    </row>
    <row r="516" spans="26:29" x14ac:dyDescent="0.2">
      <c r="Z516" s="159"/>
      <c r="AA516" s="159"/>
      <c r="AB516" s="159"/>
      <c r="AC516" s="159"/>
    </row>
    <row r="517" spans="26:29" x14ac:dyDescent="0.2">
      <c r="Z517" s="159"/>
      <c r="AA517" s="159"/>
      <c r="AB517" s="159"/>
      <c r="AC517" s="159"/>
    </row>
    <row r="518" spans="26:29" x14ac:dyDescent="0.2">
      <c r="Z518" s="159"/>
      <c r="AA518" s="159"/>
      <c r="AB518" s="159"/>
      <c r="AC518" s="159"/>
    </row>
    <row r="519" spans="26:29" x14ac:dyDescent="0.2">
      <c r="Z519" s="159"/>
      <c r="AA519" s="159"/>
      <c r="AB519" s="159"/>
      <c r="AC519" s="159"/>
    </row>
    <row r="520" spans="26:29" x14ac:dyDescent="0.2">
      <c r="Z520" s="159"/>
      <c r="AA520" s="159"/>
      <c r="AB520" s="159"/>
      <c r="AC520" s="159"/>
    </row>
    <row r="521" spans="26:29" x14ac:dyDescent="0.2">
      <c r="Z521" s="159"/>
      <c r="AA521" s="159"/>
      <c r="AB521" s="159"/>
      <c r="AC521" s="15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3"/>
  <sheetViews>
    <sheetView showGridLines="0" workbookViewId="0"/>
  </sheetViews>
  <sheetFormatPr defaultRowHeight="11.25" x14ac:dyDescent="0.2"/>
  <cols>
    <col min="1" max="1" width="32.33203125" customWidth="1"/>
    <col min="3" max="4" width="9.5" bestFit="1" customWidth="1"/>
    <col min="5" max="5" width="13" customWidth="1"/>
    <col min="6" max="6" width="11.33203125" customWidth="1"/>
    <col min="7" max="11" width="9.5" bestFit="1" customWidth="1"/>
    <col min="12" max="12" width="12.1640625" customWidth="1"/>
    <col min="13" max="13" width="12.83203125" customWidth="1"/>
  </cols>
  <sheetData>
    <row r="1" spans="1:13" ht="15.75" x14ac:dyDescent="0.25">
      <c r="A1" s="10" t="s">
        <v>147</v>
      </c>
    </row>
    <row r="2" spans="1:13" ht="18.75" x14ac:dyDescent="0.35">
      <c r="A2" s="10" t="s">
        <v>148</v>
      </c>
    </row>
    <row r="3" spans="1:13" ht="15.75" x14ac:dyDescent="0.25">
      <c r="A3" s="150" t="s">
        <v>200</v>
      </c>
      <c r="B3" s="151"/>
      <c r="C3" s="151"/>
      <c r="D3" s="151"/>
      <c r="E3" s="151"/>
      <c r="F3" s="151"/>
      <c r="G3" s="151"/>
      <c r="H3" s="151"/>
      <c r="I3" s="152"/>
    </row>
    <row r="5" spans="1:13" ht="38.25" x14ac:dyDescent="0.2">
      <c r="A5" s="106" t="s">
        <v>170</v>
      </c>
      <c r="B5" s="119" t="s">
        <v>149</v>
      </c>
    </row>
    <row r="6" spans="1:13" ht="12.75" x14ac:dyDescent="0.2">
      <c r="A6" s="107" t="s">
        <v>142</v>
      </c>
      <c r="B6" s="108">
        <v>105</v>
      </c>
    </row>
    <row r="7" spans="1:13" ht="12.75" x14ac:dyDescent="0.2">
      <c r="A7" s="107" t="s">
        <v>143</v>
      </c>
      <c r="B7" s="108">
        <v>25</v>
      </c>
    </row>
    <row r="8" spans="1:13" ht="15.75" x14ac:dyDescent="0.25">
      <c r="C8" s="74" t="s">
        <v>179</v>
      </c>
      <c r="D8" s="126"/>
      <c r="E8" s="126"/>
      <c r="F8" s="126"/>
      <c r="G8" s="126"/>
      <c r="H8" s="126"/>
      <c r="I8" s="126"/>
      <c r="J8" s="126"/>
      <c r="K8" s="126"/>
      <c r="L8" s="126"/>
      <c r="M8" s="127"/>
    </row>
    <row r="9" spans="1:13" ht="25.5" x14ac:dyDescent="0.2">
      <c r="C9" s="128" t="s">
        <v>0</v>
      </c>
      <c r="D9" s="128" t="s">
        <v>1</v>
      </c>
      <c r="E9" s="128" t="s">
        <v>2</v>
      </c>
      <c r="F9" s="128" t="s">
        <v>3</v>
      </c>
      <c r="G9" s="128" t="s">
        <v>4</v>
      </c>
      <c r="H9" s="128" t="s">
        <v>5</v>
      </c>
      <c r="I9" s="128" t="s">
        <v>6</v>
      </c>
      <c r="J9" s="128" t="s">
        <v>7</v>
      </c>
      <c r="K9" s="128" t="s">
        <v>8</v>
      </c>
      <c r="L9" s="128" t="s">
        <v>9</v>
      </c>
      <c r="M9" s="129" t="s">
        <v>10</v>
      </c>
    </row>
    <row r="10" spans="1:13" ht="12.75" x14ac:dyDescent="0.2">
      <c r="C10" s="130">
        <f>IF(ISNUMBER(A50),A50,"-")</f>
        <v>100.85918854415274</v>
      </c>
      <c r="D10" s="133">
        <f t="shared" ref="D10:M10" si="0">IF(ISNUMBER(B50),B50,"-")</f>
        <v>105</v>
      </c>
      <c r="E10" s="131">
        <f t="shared" si="0"/>
        <v>1.0441959427207638E-3</v>
      </c>
      <c r="F10" s="132">
        <f t="shared" si="0"/>
        <v>1.633219570405728</v>
      </c>
      <c r="G10" s="130">
        <f t="shared" si="0"/>
        <v>422.56577565632455</v>
      </c>
      <c r="H10" s="130">
        <f t="shared" si="0"/>
        <v>2507.4966587112172</v>
      </c>
      <c r="I10" s="130">
        <f t="shared" si="0"/>
        <v>422.6709307875895</v>
      </c>
      <c r="J10" s="130">
        <f t="shared" si="0"/>
        <v>2254.6973747016705</v>
      </c>
      <c r="K10" s="130">
        <f t="shared" si="0"/>
        <v>2677.4231503579949</v>
      </c>
      <c r="L10" s="132">
        <f t="shared" si="0"/>
        <v>1.3164885441527445</v>
      </c>
      <c r="M10" s="132">
        <f t="shared" si="0"/>
        <v>7.3449162291169445</v>
      </c>
    </row>
    <row r="12" spans="1:13" ht="15.75" x14ac:dyDescent="0.25">
      <c r="A12" s="10" t="str">
        <f>IF(ISTEXT(C77),C77,"-")</f>
        <v>Phase:  Compressed Liquid. Temperature is below is below boiling point temperature at specified pressure. Use P-v diagram to verify.</v>
      </c>
    </row>
    <row r="13" spans="1:13" ht="15.75" x14ac:dyDescent="0.25">
      <c r="A13" s="140" t="str">
        <f>IF(ISTEXT(H68),H68,"-")</f>
        <v/>
      </c>
    </row>
    <row r="14" spans="1:13" ht="15.75" x14ac:dyDescent="0.25">
      <c r="A14" s="10" t="str">
        <f>IF(ISTEXT(C80),C80,"-")</f>
        <v>For compressed liquids, evaluate v, u, h, and s as saturated liquid at the TEMPERATURE of the liquid. See text section 3.10.</v>
      </c>
    </row>
    <row r="15" spans="1:13" ht="15.75" x14ac:dyDescent="0.25">
      <c r="A15" s="137" t="str">
        <f>C86</f>
        <v/>
      </c>
    </row>
    <row r="17" spans="1:13" ht="15.75" x14ac:dyDescent="0.25">
      <c r="A17" s="74" t="s">
        <v>183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1"/>
    </row>
    <row r="35" spans="1:37" x14ac:dyDescent="0.2">
      <c r="A35" s="46" t="s">
        <v>188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1"/>
    </row>
    <row r="36" spans="1:37" ht="45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7" t="s">
        <v>10</v>
      </c>
      <c r="L36" s="52" t="s">
        <v>49</v>
      </c>
      <c r="M36" s="52" t="s">
        <v>50</v>
      </c>
      <c r="N36" s="52" t="s">
        <v>51</v>
      </c>
      <c r="O36" s="52" t="s">
        <v>52</v>
      </c>
      <c r="P36" s="53" t="s">
        <v>53</v>
      </c>
      <c r="Q36" s="53" t="s">
        <v>54</v>
      </c>
      <c r="R36" s="53" t="s">
        <v>55</v>
      </c>
      <c r="S36" s="53" t="s">
        <v>56</v>
      </c>
      <c r="T36" s="53" t="s">
        <v>57</v>
      </c>
      <c r="U36" s="53" t="s">
        <v>58</v>
      </c>
      <c r="V36" s="53" t="s">
        <v>59</v>
      </c>
      <c r="W36" s="53" t="s">
        <v>60</v>
      </c>
      <c r="X36" s="53" t="s">
        <v>61</v>
      </c>
      <c r="Y36" s="53" t="s">
        <v>62</v>
      </c>
      <c r="Z36" s="53" t="s">
        <v>63</v>
      </c>
      <c r="AA36" s="53" t="s">
        <v>64</v>
      </c>
      <c r="AB36" s="53" t="s">
        <v>65</v>
      </c>
      <c r="AC36" s="53" t="s">
        <v>66</v>
      </c>
      <c r="AD36" s="53" t="s">
        <v>67</v>
      </c>
      <c r="AE36" s="53" t="s">
        <v>68</v>
      </c>
      <c r="AF36" s="53" t="s">
        <v>69</v>
      </c>
      <c r="AG36" s="53" t="s">
        <v>70</v>
      </c>
      <c r="AH36" s="53" t="s">
        <v>71</v>
      </c>
      <c r="AI36" s="53" t="s">
        <v>72</v>
      </c>
      <c r="AJ36" s="53" t="s">
        <v>73</v>
      </c>
      <c r="AK36" s="53" t="s">
        <v>74</v>
      </c>
    </row>
    <row r="37" spans="1:37" x14ac:dyDescent="0.2">
      <c r="A37" s="83">
        <f>IF(A6=$A$91,B6,100)</f>
        <v>100</v>
      </c>
      <c r="B37" s="4">
        <f>R37+($A37-$N37)/($O37-$N37)*(S37-R37)</f>
        <v>101.4</v>
      </c>
      <c r="C37" s="56">
        <f>T37+($A37-$N37)/($O37-$N37)*(U37-T37)</f>
        <v>1.0435000000000002E-3</v>
      </c>
      <c r="D37" s="39">
        <f>V37+($A37-$N37)/($O37-$N37)*(W37-V37)</f>
        <v>1.673</v>
      </c>
      <c r="E37" s="4">
        <f>X37+($A37-$N37)/($O37-$N37)*(Y37-X37)</f>
        <v>418.94</v>
      </c>
      <c r="F37" s="4">
        <f>Z37+($A37-$N37)/($O37-$N37)*(AA37-Z37)</f>
        <v>2506.5</v>
      </c>
      <c r="G37" s="4">
        <f>AB37+($A37-$N37)/($O37-$N37)*(AC37-AB37)</f>
        <v>419.04</v>
      </c>
      <c r="H37" s="4">
        <f>AD37+($A37-$N37)/($O37-$N37)*(AE37-AD37)</f>
        <v>2257</v>
      </c>
      <c r="I37" s="4">
        <f>AF37+($A37-$N37)/($O37-$N37)*(AG37-AF37)</f>
        <v>2676.1</v>
      </c>
      <c r="J37" s="39">
        <f>AH37+($A37-$N37)/($O37-$N37)*(AI37-AH37)</f>
        <v>1.3069</v>
      </c>
      <c r="K37" s="39">
        <f>AJ37+($A37-$N37)/($O37-$N37)*(AK37-AJ37)</f>
        <v>7.3548999999999998</v>
      </c>
      <c r="L37" s="54"/>
      <c r="M37" s="36">
        <f>MATCH(A37,TemperatureSI!A:A)</f>
        <v>48</v>
      </c>
      <c r="N37" s="36">
        <f>INDEX(TemperatureSI!A:A,M37)</f>
        <v>100</v>
      </c>
      <c r="O37" s="36">
        <f>INDEX(TemperatureSI!A:A,M37+1)</f>
        <v>110</v>
      </c>
      <c r="P37" s="36">
        <f>INDEX(TemperatureSI!$A:$A,$M37)</f>
        <v>100</v>
      </c>
      <c r="Q37" s="36">
        <f>INDEX(TemperatureSI!$A:$A,$M37+1)</f>
        <v>110</v>
      </c>
      <c r="R37" s="36">
        <f>INDEX(TemperatureSI!$B:$B,$M37)</f>
        <v>101.4</v>
      </c>
      <c r="S37" s="36">
        <f>INDEX(TemperatureSI!$B:$B,$M37+1)</f>
        <v>143.30000000000001</v>
      </c>
      <c r="T37" s="36">
        <f>INDEX(TemperatureSI!$C:$C,$M37)</f>
        <v>1.0435000000000002E-3</v>
      </c>
      <c r="U37" s="36">
        <f>INDEX(TemperatureSI!$C:$C,$M37+1)</f>
        <v>1.0516000000000002E-3</v>
      </c>
      <c r="V37" s="36">
        <f>INDEX(TemperatureSI!$D:$D,$M37)</f>
        <v>1.673</v>
      </c>
      <c r="W37" s="36">
        <f>INDEX(TemperatureSI!$D:$D,$M37+1)</f>
        <v>1.21</v>
      </c>
      <c r="X37" s="36">
        <f>INDEX(TemperatureSI!$E:$E,$M37)</f>
        <v>418.94</v>
      </c>
      <c r="Y37" s="36">
        <f>INDEX(TemperatureSI!$E:$E,$M37+1)</f>
        <v>461.14</v>
      </c>
      <c r="Z37" s="36">
        <f>INDEX(TemperatureSI!$F:$F,$M37)</f>
        <v>2506.5</v>
      </c>
      <c r="AA37" s="36">
        <f>INDEX(TemperatureSI!$F:$F,$M37+1)</f>
        <v>2518.1</v>
      </c>
      <c r="AB37" s="36">
        <f>INDEX(TemperatureSI!$G:$G,$M37)</f>
        <v>419.04</v>
      </c>
      <c r="AC37" s="36">
        <f>INDEX(TemperatureSI!$G:$G,$M37+1)</f>
        <v>461.3</v>
      </c>
      <c r="AD37" s="36">
        <f>INDEX(TemperatureSI!$H:$H,$M37)</f>
        <v>2257</v>
      </c>
      <c r="AE37" s="36">
        <f>INDEX(TemperatureSI!$H:$H,$M37+1)</f>
        <v>2230.1999999999998</v>
      </c>
      <c r="AF37" s="36">
        <f>INDEX(TemperatureSI!$I:$I,$M37)</f>
        <v>2676.1</v>
      </c>
      <c r="AG37" s="36">
        <f>INDEX(TemperatureSI!$I:$I,$M37+1)</f>
        <v>2691.5</v>
      </c>
      <c r="AH37" s="36">
        <f>INDEX(TemperatureSI!$J:$J,$M37)</f>
        <v>1.3069</v>
      </c>
      <c r="AI37" s="36">
        <f>INDEX(TemperatureSI!$J:$J,$M37+1)</f>
        <v>1.4185000000000001</v>
      </c>
      <c r="AJ37" s="36">
        <f>INDEX(TemperatureSI!$K:$K,$M37)</f>
        <v>7.3548999999999998</v>
      </c>
      <c r="AK37" s="36">
        <f>INDEX(TemperatureSI!$K:$K,$M37+1)</f>
        <v>7.2386999999999997</v>
      </c>
    </row>
    <row r="40" spans="1:37" x14ac:dyDescent="0.2">
      <c r="A40" s="46" t="s">
        <v>187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1"/>
    </row>
    <row r="41" spans="1:37" ht="45" x14ac:dyDescent="0.2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7" t="s">
        <v>10</v>
      </c>
      <c r="L41" s="52" t="s">
        <v>49</v>
      </c>
      <c r="M41" s="52" t="s">
        <v>50</v>
      </c>
      <c r="N41" s="52" t="s">
        <v>51</v>
      </c>
      <c r="O41" s="52" t="s">
        <v>52</v>
      </c>
      <c r="P41" s="53" t="s">
        <v>53</v>
      </c>
      <c r="Q41" s="53" t="s">
        <v>54</v>
      </c>
      <c r="R41" s="53" t="s">
        <v>55</v>
      </c>
      <c r="S41" s="53" t="s">
        <v>56</v>
      </c>
      <c r="T41" s="53" t="s">
        <v>57</v>
      </c>
      <c r="U41" s="53" t="s">
        <v>58</v>
      </c>
      <c r="V41" s="53" t="s">
        <v>59</v>
      </c>
      <c r="W41" s="53" t="s">
        <v>60</v>
      </c>
      <c r="X41" s="53" t="s">
        <v>61</v>
      </c>
      <c r="Y41" s="53" t="s">
        <v>62</v>
      </c>
      <c r="Z41" s="53" t="s">
        <v>63</v>
      </c>
      <c r="AA41" s="53" t="s">
        <v>64</v>
      </c>
      <c r="AB41" s="53" t="s">
        <v>65</v>
      </c>
      <c r="AC41" s="53" t="s">
        <v>66</v>
      </c>
      <c r="AD41" s="53" t="s">
        <v>67</v>
      </c>
      <c r="AE41" s="53" t="s">
        <v>68</v>
      </c>
      <c r="AF41" s="53" t="s">
        <v>69</v>
      </c>
      <c r="AG41" s="53" t="s">
        <v>70</v>
      </c>
      <c r="AH41" s="53" t="s">
        <v>71</v>
      </c>
      <c r="AI41" s="53" t="s">
        <v>72</v>
      </c>
      <c r="AJ41" s="53" t="s">
        <v>73</v>
      </c>
      <c r="AK41" s="53" t="s">
        <v>74</v>
      </c>
    </row>
    <row r="42" spans="1:37" x14ac:dyDescent="0.2">
      <c r="A42" s="4">
        <f>P42+($B42-$N42)/($O42-$N42)*(Q42-P42)</f>
        <v>100.85918854415274</v>
      </c>
      <c r="B42" s="79">
        <f>IF(A6=A90,B6,100)</f>
        <v>105</v>
      </c>
      <c r="C42" s="56">
        <f>T42+($B42-$N42)/($O42-$N42)*(U42-T42)</f>
        <v>1.0441959427207638E-3</v>
      </c>
      <c r="D42" s="39">
        <f>V42+($B42-$N42)/($O42-$N42)*(W42-V42)</f>
        <v>1.633219570405728</v>
      </c>
      <c r="E42" s="4">
        <f>X42+($B42-$N42)/($O42-$N42)*(Y42-X42)</f>
        <v>422.56577565632455</v>
      </c>
      <c r="F42" s="4">
        <f>Z42+($B42-$N42)/($O42-$N42)*(AA42-Z42)</f>
        <v>2507.4966587112172</v>
      </c>
      <c r="G42" s="4">
        <f>AB42+($B42-$N42)/($O42-$N42)*(AC42-AB42)</f>
        <v>422.6709307875895</v>
      </c>
      <c r="H42" s="4">
        <f>AD42+($B42-$N42)/($O42-$N42)*(AE42-AD42)</f>
        <v>2254.6973747016705</v>
      </c>
      <c r="I42" s="4">
        <f>AF42+($B42-$N42)/($O42-$N42)*(AG42-AF42)</f>
        <v>2677.4231503579949</v>
      </c>
      <c r="J42" s="39">
        <f>AH42+($B42-$N42)/($O42-$N42)*(AI42-AH42)</f>
        <v>1.3164885441527445</v>
      </c>
      <c r="K42" s="39">
        <f>AJ42+($B42-$N42)/($O42-$N42)*(AK42-AJ42)</f>
        <v>7.3449162291169445</v>
      </c>
      <c r="L42" s="54"/>
      <c r="M42" s="36">
        <f>MATCH(B42,TemperatureSI!B:B)</f>
        <v>48</v>
      </c>
      <c r="N42" s="36">
        <f>INDEX(TemperatureSI!B:B,M42)</f>
        <v>101.4</v>
      </c>
      <c r="O42" s="36">
        <f>INDEX(TemperatureSI!B:B,M42+1)</f>
        <v>143.30000000000001</v>
      </c>
      <c r="P42" s="36">
        <f>INDEX(TemperatureSI!$A:$A,$M42)</f>
        <v>100</v>
      </c>
      <c r="Q42" s="36">
        <f>INDEX(TemperatureSI!$A:$A,$M42+1)</f>
        <v>110</v>
      </c>
      <c r="R42" s="36">
        <f>INDEX(TemperatureSI!$B:$B,$M42)</f>
        <v>101.4</v>
      </c>
      <c r="S42" s="36">
        <f>INDEX(TemperatureSI!$B:$B,$M42+1)</f>
        <v>143.30000000000001</v>
      </c>
      <c r="T42" s="36">
        <f>INDEX(TemperatureSI!$C:$C,$M42)</f>
        <v>1.0435000000000002E-3</v>
      </c>
      <c r="U42" s="36">
        <f>INDEX(TemperatureSI!$C:$C,$M42+1)</f>
        <v>1.0516000000000002E-3</v>
      </c>
      <c r="V42" s="36">
        <f>INDEX(TemperatureSI!$D:$D,$M42)</f>
        <v>1.673</v>
      </c>
      <c r="W42" s="36">
        <f>INDEX(TemperatureSI!$D:$D,$M42+1)</f>
        <v>1.21</v>
      </c>
      <c r="X42" s="36">
        <f>INDEX(TemperatureSI!$E:$E,$M42)</f>
        <v>418.94</v>
      </c>
      <c r="Y42" s="36">
        <f>INDEX(TemperatureSI!$E:$E,$M42+1)</f>
        <v>461.14</v>
      </c>
      <c r="Z42" s="36">
        <f>INDEX(TemperatureSI!$F:$F,$M42)</f>
        <v>2506.5</v>
      </c>
      <c r="AA42" s="36">
        <f>INDEX(TemperatureSI!$F:$F,$M42+1)</f>
        <v>2518.1</v>
      </c>
      <c r="AB42" s="36">
        <f>INDEX(TemperatureSI!$G:$G,$M42)</f>
        <v>419.04</v>
      </c>
      <c r="AC42" s="36">
        <f>INDEX(TemperatureSI!$G:$G,$M42+1)</f>
        <v>461.3</v>
      </c>
      <c r="AD42" s="36">
        <f>INDEX(TemperatureSI!$H:$H,$M42)</f>
        <v>2257</v>
      </c>
      <c r="AE42" s="36">
        <f>INDEX(TemperatureSI!$H:$H,$M42+1)</f>
        <v>2230.1999999999998</v>
      </c>
      <c r="AF42" s="36">
        <f>INDEX(TemperatureSI!$I:$I,$M42)</f>
        <v>2676.1</v>
      </c>
      <c r="AG42" s="36">
        <f>INDEX(TemperatureSI!$I:$I,$M42+1)</f>
        <v>2691.5</v>
      </c>
      <c r="AH42" s="36">
        <f>INDEX(TemperatureSI!$J:$J,$M42)</f>
        <v>1.3069</v>
      </c>
      <c r="AI42" s="36">
        <f>INDEX(TemperatureSI!$J:$J,$M42+1)</f>
        <v>1.4185000000000001</v>
      </c>
      <c r="AJ42" s="36">
        <f>INDEX(TemperatureSI!$K:$K,$M42)</f>
        <v>7.3548999999999998</v>
      </c>
      <c r="AK42" s="36">
        <f>INDEX(TemperatureSI!$K:$K,$M42+1)</f>
        <v>7.2386999999999997</v>
      </c>
    </row>
    <row r="44" spans="1:37" x14ac:dyDescent="0.2">
      <c r="A44" s="138" t="s">
        <v>150</v>
      </c>
      <c r="B44" s="139" t="s">
        <v>153</v>
      </c>
    </row>
    <row r="45" spans="1:37" x14ac:dyDescent="0.2">
      <c r="A45" s="83" t="str">
        <f>A6</f>
        <v>P, Pressure (kPa)</v>
      </c>
      <c r="B45" s="83">
        <f>B6</f>
        <v>105</v>
      </c>
    </row>
    <row r="46" spans="1:37" x14ac:dyDescent="0.2">
      <c r="A46" s="83" t="str">
        <f>A7</f>
        <v>T, Temperature (deg C)</v>
      </c>
      <c r="B46" s="83">
        <f>B7</f>
        <v>25</v>
      </c>
    </row>
    <row r="48" spans="1:37" x14ac:dyDescent="0.2">
      <c r="A48" s="109" t="s">
        <v>151</v>
      </c>
      <c r="B48" s="36" t="b">
        <f>A45=A91</f>
        <v>0</v>
      </c>
      <c r="C48" s="46" t="s">
        <v>152</v>
      </c>
      <c r="D48" s="47"/>
      <c r="E48" s="47"/>
      <c r="F48" s="47"/>
      <c r="G48" s="47"/>
      <c r="H48" s="47"/>
      <c r="I48" s="47"/>
      <c r="J48" s="47"/>
      <c r="K48" s="48"/>
    </row>
    <row r="49" spans="1:14" ht="22.5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7" t="s">
        <v>10</v>
      </c>
    </row>
    <row r="50" spans="1:14" x14ac:dyDescent="0.2">
      <c r="A50" s="112">
        <f>IF($B$48,A37,A42)</f>
        <v>100.85918854415274</v>
      </c>
      <c r="B50" s="4">
        <f t="shared" ref="B50:K50" si="1">IF($B$48,B37,B42)</f>
        <v>105</v>
      </c>
      <c r="C50" s="56">
        <f t="shared" si="1"/>
        <v>1.0441959427207638E-3</v>
      </c>
      <c r="D50" s="39">
        <f t="shared" si="1"/>
        <v>1.633219570405728</v>
      </c>
      <c r="E50" s="4">
        <f t="shared" si="1"/>
        <v>422.56577565632455</v>
      </c>
      <c r="F50" s="4">
        <f t="shared" si="1"/>
        <v>2507.4966587112172</v>
      </c>
      <c r="G50" s="4">
        <f t="shared" si="1"/>
        <v>422.6709307875895</v>
      </c>
      <c r="H50" s="4">
        <f t="shared" si="1"/>
        <v>2254.6973747016705</v>
      </c>
      <c r="I50" s="4">
        <f t="shared" si="1"/>
        <v>2677.4231503579949</v>
      </c>
      <c r="J50" s="39">
        <f t="shared" si="1"/>
        <v>1.3164885441527445</v>
      </c>
      <c r="K50" s="39">
        <f t="shared" si="1"/>
        <v>7.3449162291169445</v>
      </c>
    </row>
    <row r="52" spans="1:14" x14ac:dyDescent="0.2">
      <c r="A52" s="109" t="s">
        <v>154</v>
      </c>
      <c r="B52" s="36" t="b">
        <f>AND(A$45=A$91,A$46=A$90)</f>
        <v>0</v>
      </c>
      <c r="C52" s="46" t="s">
        <v>163</v>
      </c>
      <c r="D52" s="47"/>
      <c r="E52" s="47"/>
      <c r="F52" s="47"/>
      <c r="G52" s="47"/>
      <c r="H52" s="47"/>
      <c r="I52" s="47"/>
      <c r="J52" s="47"/>
      <c r="K52" s="48"/>
      <c r="L52" s="22"/>
      <c r="M52" s="22"/>
      <c r="N52" s="78"/>
    </row>
    <row r="53" spans="1:14" x14ac:dyDescent="0.2">
      <c r="A53" s="111" t="s">
        <v>155</v>
      </c>
      <c r="B53" s="36" t="b">
        <f>IF(B52,B46&gt;B50)</f>
        <v>0</v>
      </c>
      <c r="C53" s="26" t="str">
        <f>IF(B53,"Phase:  Compressed Liquid.  Pressure is above saturation pressure at specified temperature. Use P-v diagram to verify.","-")</f>
        <v>-</v>
      </c>
      <c r="D53" s="26"/>
      <c r="E53" s="26"/>
      <c r="F53" s="26"/>
      <c r="G53" s="26"/>
      <c r="H53" s="26"/>
      <c r="I53" s="26"/>
      <c r="J53" s="26"/>
      <c r="K53" s="26"/>
      <c r="M53" s="36" t="s">
        <v>191</v>
      </c>
      <c r="N53" s="34"/>
    </row>
    <row r="54" spans="1:14" x14ac:dyDescent="0.2">
      <c r="A54" s="111" t="s">
        <v>156</v>
      </c>
      <c r="B54" s="36" t="b">
        <f>IF(B52,B46=B50)</f>
        <v>0</v>
      </c>
      <c r="C54" s="26" t="str">
        <f>IF(B54,"Phase:  Saturated Mixture (2-Phase).  P, T pair exactly matches saturation condition.","-")</f>
        <v>-</v>
      </c>
      <c r="D54" s="26"/>
      <c r="E54" s="26"/>
      <c r="F54" s="26"/>
      <c r="G54" s="26"/>
      <c r="H54" s="26"/>
      <c r="I54" s="26"/>
      <c r="J54" s="26"/>
      <c r="K54" s="26"/>
      <c r="M54" s="36" t="s">
        <v>192</v>
      </c>
      <c r="N54" s="34"/>
    </row>
    <row r="55" spans="1:14" x14ac:dyDescent="0.2">
      <c r="A55" s="111" t="s">
        <v>157</v>
      </c>
      <c r="B55" s="36" t="b">
        <f>IF(B52,B46&lt;B50)</f>
        <v>0</v>
      </c>
      <c r="C55" s="26" t="str">
        <f>IF(B55,"Phase:  Superheated Vapor. Pressure is below saturation pressure at specified temperature Use P-v diagram to verify.","-")</f>
        <v>-</v>
      </c>
      <c r="D55" s="26"/>
      <c r="E55" s="26"/>
      <c r="F55" s="26"/>
      <c r="G55" s="26"/>
      <c r="H55" s="26"/>
      <c r="I55" s="26"/>
      <c r="J55" s="26"/>
      <c r="K55" s="26"/>
      <c r="M55" s="36" t="s">
        <v>193</v>
      </c>
      <c r="N55" s="34"/>
    </row>
    <row r="56" spans="1:14" x14ac:dyDescent="0.2">
      <c r="A56" s="120" t="s">
        <v>158</v>
      </c>
      <c r="B56" s="36" t="b">
        <f>OR(B53:B55)</f>
        <v>0</v>
      </c>
      <c r="C56" s="30" t="str">
        <f>IF(B53,C53,IF(B54,C54,IF(B55,C55,"-")))</f>
        <v>-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5"/>
    </row>
    <row r="58" spans="1:14" x14ac:dyDescent="0.2">
      <c r="A58" s="121" t="s">
        <v>159</v>
      </c>
      <c r="B58" s="36" t="b">
        <f>AND(A$45=A$90,A$46=A$91)</f>
        <v>1</v>
      </c>
      <c r="C58" s="46" t="s">
        <v>164</v>
      </c>
      <c r="D58" s="50"/>
      <c r="E58" s="50"/>
      <c r="F58" s="50"/>
      <c r="G58" s="50"/>
      <c r="H58" s="50"/>
      <c r="I58" s="50"/>
      <c r="J58" s="50"/>
      <c r="K58" s="51"/>
      <c r="L58" s="22"/>
      <c r="M58" s="22"/>
      <c r="N58" s="78"/>
    </row>
    <row r="59" spans="1:14" x14ac:dyDescent="0.2">
      <c r="A59" s="122" t="s">
        <v>160</v>
      </c>
      <c r="B59" s="36" t="b">
        <f>IF(B58,B46&gt;A50)</f>
        <v>0</v>
      </c>
      <c r="C59" s="26" t="str">
        <f>IF(B59,"Phase:  Superheated Vapor.  Temperature is above saturation temperature at specified pressure.  Use P-v diagram to verify.","-")</f>
        <v>-</v>
      </c>
      <c r="D59" s="26"/>
      <c r="E59" s="26"/>
      <c r="F59" s="26"/>
      <c r="G59" s="26"/>
      <c r="H59" s="26"/>
      <c r="I59" s="26"/>
      <c r="J59" s="26"/>
      <c r="K59" s="26"/>
      <c r="M59" s="36" t="s">
        <v>193</v>
      </c>
      <c r="N59" s="34"/>
    </row>
    <row r="60" spans="1:14" x14ac:dyDescent="0.2">
      <c r="A60" s="122" t="s">
        <v>162</v>
      </c>
      <c r="B60" s="36" t="b">
        <f>IF(B58,B46=A50)</f>
        <v>0</v>
      </c>
      <c r="C60" s="26" t="str">
        <f>IF(B60,"Phase:  Saturated Mixture (2-Phase).  P, T pair exactly matches saturation condition.","-")</f>
        <v>-</v>
      </c>
      <c r="D60" s="26"/>
      <c r="E60" s="26"/>
      <c r="F60" s="26"/>
      <c r="G60" s="26"/>
      <c r="H60" s="26"/>
      <c r="I60" s="26"/>
      <c r="J60" s="26"/>
      <c r="K60" s="26"/>
      <c r="M60" s="36" t="s">
        <v>192</v>
      </c>
      <c r="N60" s="34"/>
    </row>
    <row r="61" spans="1:14" x14ac:dyDescent="0.2">
      <c r="A61" s="122" t="s">
        <v>161</v>
      </c>
      <c r="B61" s="36" t="b">
        <f>IF(B58,B46&lt;A50)</f>
        <v>1</v>
      </c>
      <c r="C61" s="26" t="str">
        <f>IF(B61,"Phase:  Compressed Liquid. Temperature is below is below boiling point temperature at specified pressure. Use P-v diagram to verify.","-")</f>
        <v>Phase:  Compressed Liquid. Temperature is below is below boiling point temperature at specified pressure. Use P-v diagram to verify.</v>
      </c>
      <c r="D61" s="26"/>
      <c r="E61" s="26"/>
      <c r="F61" s="26"/>
      <c r="G61" s="26"/>
      <c r="H61" s="26"/>
      <c r="I61" s="26"/>
      <c r="J61" s="26"/>
      <c r="K61" s="26"/>
      <c r="M61" s="36" t="s">
        <v>191</v>
      </c>
      <c r="N61" s="34"/>
    </row>
    <row r="62" spans="1:14" x14ac:dyDescent="0.2">
      <c r="A62" s="120" t="s">
        <v>158</v>
      </c>
      <c r="B62" s="36" t="b">
        <f>OR(B59:B61)</f>
        <v>1</v>
      </c>
      <c r="C62" s="30" t="str">
        <f>IF(B59,C59,IF(B60,C60,IF(B61,C61,"-")))</f>
        <v>Phase:  Compressed Liquid. Temperature is below is below boiling point temperature at specified pressure. Use P-v diagram to verify.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5"/>
    </row>
    <row r="64" spans="1:14" x14ac:dyDescent="0.2">
      <c r="A64" s="121" t="s">
        <v>166</v>
      </c>
      <c r="B64" s="36" t="b">
        <f>OR(A7=A96,A7=A97,A7=A98)</f>
        <v>0</v>
      </c>
      <c r="C64" s="46" t="s">
        <v>165</v>
      </c>
      <c r="D64" s="50"/>
      <c r="E64" s="50"/>
      <c r="F64" s="50"/>
      <c r="G64" s="50"/>
      <c r="H64" s="50"/>
      <c r="I64" s="50"/>
      <c r="J64" s="50"/>
      <c r="K64" s="51"/>
      <c r="L64" s="22"/>
      <c r="M64" s="22"/>
      <c r="N64" s="78"/>
    </row>
    <row r="65" spans="1:14" x14ac:dyDescent="0.2">
      <c r="A65" s="82"/>
      <c r="B65" s="123" t="s">
        <v>167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34"/>
    </row>
    <row r="66" spans="1:14" x14ac:dyDescent="0.2">
      <c r="A66" s="82"/>
      <c r="B66" s="83" t="str">
        <f>IF(B64,B7,"-")</f>
        <v>-</v>
      </c>
      <c r="C66" s="114" t="str">
        <f>IF(B64,A7,"-")</f>
        <v>-</v>
      </c>
      <c r="D66" s="116"/>
      <c r="E66" s="116"/>
      <c r="F66" s="117"/>
      <c r="G66" s="26"/>
      <c r="H66" s="111" t="s">
        <v>184</v>
      </c>
      <c r="I66" s="36" t="str">
        <f>IF(H67,(B66-B67)/(B68-B67),"-")</f>
        <v>-</v>
      </c>
      <c r="J66" s="26" t="s">
        <v>185</v>
      </c>
      <c r="K66" s="26"/>
      <c r="L66" s="26"/>
      <c r="M66" s="26"/>
      <c r="N66" s="34"/>
    </row>
    <row r="67" spans="1:14" x14ac:dyDescent="0.2">
      <c r="A67" s="82"/>
      <c r="B67" s="36" t="str">
        <f>IF(B64,INDEX(C50:I50,1,MATCH(C67,C49:I49,0)),"-")</f>
        <v>-</v>
      </c>
      <c r="C67" s="118" t="str">
        <f>IF(B64,INDEX(B93:B98,MATCH(C66,A93:A98,0)),"-")</f>
        <v>-</v>
      </c>
      <c r="D67" s="116"/>
      <c r="E67" s="116"/>
      <c r="F67" s="117"/>
      <c r="G67" s="26"/>
      <c r="H67" s="16" t="b">
        <f>B73=TRUE</f>
        <v>0</v>
      </c>
      <c r="I67" s="26" t="s">
        <v>186</v>
      </c>
      <c r="J67" s="26"/>
      <c r="K67" s="26"/>
      <c r="L67" s="26"/>
      <c r="M67" s="26"/>
      <c r="N67" s="34"/>
    </row>
    <row r="68" spans="1:14" x14ac:dyDescent="0.2">
      <c r="A68" s="82"/>
      <c r="B68" s="36" t="str">
        <f>IF(B64,INDEX(C50:I50,MATCH(C68,C49:I49,0)),"-")</f>
        <v>-</v>
      </c>
      <c r="C68" s="118" t="str">
        <f>IF(B64,INDEX(C93:C98,MATCH(C66,A93:A98,0)),"-")</f>
        <v>-</v>
      </c>
      <c r="D68" s="116"/>
      <c r="E68" s="116"/>
      <c r="F68" s="117"/>
      <c r="G68" s="26"/>
      <c r="H68" s="110" t="str">
        <f>IF(H67,CONCATENATE("Quality, x=",TEXT(I66,"0.000"),"=",TEXT(I66,"0.00%")),"")</f>
        <v/>
      </c>
      <c r="I68" s="99"/>
      <c r="J68" s="99"/>
      <c r="K68" s="100"/>
      <c r="L68" s="26"/>
      <c r="M68" s="26"/>
      <c r="N68" s="34"/>
    </row>
    <row r="69" spans="1:14" x14ac:dyDescent="0.2">
      <c r="A69" s="124" t="s">
        <v>171</v>
      </c>
      <c r="B69" s="36" t="str">
        <f>IF(B64,B66&lt;B67,"-")</f>
        <v>-</v>
      </c>
      <c r="C69" s="26" t="str">
        <f>IF(AND(B$64,B69),"Phase: Compressed liquid since selected second property is &lt; sat liquid property","-")</f>
        <v>-</v>
      </c>
      <c r="D69" s="26"/>
      <c r="E69" s="26"/>
      <c r="F69" s="26"/>
      <c r="G69" s="26"/>
      <c r="H69" s="26"/>
      <c r="I69" s="26"/>
      <c r="J69" s="26"/>
      <c r="K69" s="26"/>
      <c r="L69" s="26"/>
      <c r="M69" s="36" t="s">
        <v>191</v>
      </c>
      <c r="N69" s="34"/>
    </row>
    <row r="70" spans="1:14" x14ac:dyDescent="0.2">
      <c r="A70" s="124" t="s">
        <v>172</v>
      </c>
      <c r="B70" s="36" t="str">
        <f>IF(B64,B66=B67,"-")</f>
        <v>-</v>
      </c>
      <c r="C70" s="26" t="str">
        <f>IF(AND(B$64,B70),"Phase: Saturated liquid at boiling point since selected second property exactly equals sat liquid 'f' property","-")</f>
        <v>-</v>
      </c>
      <c r="D70" s="26"/>
      <c r="E70" s="26"/>
      <c r="F70" s="26"/>
      <c r="G70" s="26"/>
      <c r="H70" s="26"/>
      <c r="I70" s="26"/>
      <c r="J70" s="26"/>
      <c r="K70" s="26"/>
      <c r="L70" s="26"/>
      <c r="M70" s="36" t="s">
        <v>194</v>
      </c>
      <c r="N70" s="34"/>
    </row>
    <row r="71" spans="1:14" x14ac:dyDescent="0.2">
      <c r="A71" s="124" t="s">
        <v>173</v>
      </c>
      <c r="B71" s="36" t="str">
        <f>IF(B64,B66=B68,"-")</f>
        <v>-</v>
      </c>
      <c r="C71" s="26" t="str">
        <f>IF(AND(B$64,B71),"Phase: Saturated vapor at boiling point since selected second property exactly equals sat vapor 'g' property","-")</f>
        <v>-</v>
      </c>
      <c r="D71" s="26"/>
      <c r="E71" s="26"/>
      <c r="F71" s="26"/>
      <c r="G71" s="26"/>
      <c r="H71" s="26"/>
      <c r="I71" s="26"/>
      <c r="J71" s="26"/>
      <c r="K71" s="26"/>
      <c r="L71" s="26"/>
      <c r="M71" s="36" t="s">
        <v>195</v>
      </c>
      <c r="N71" s="34"/>
    </row>
    <row r="72" spans="1:14" x14ac:dyDescent="0.2">
      <c r="A72" s="124" t="s">
        <v>174</v>
      </c>
      <c r="B72" s="36" t="str">
        <f>IF(B64,B66&gt;B68,"-")</f>
        <v>-</v>
      </c>
      <c r="C72" s="26" t="str">
        <f>IF(AND(B$64,B72),"Phase: Superheated vapor since selected second property is greater than sat vapor 'g' property","-")</f>
        <v>-</v>
      </c>
      <c r="D72" s="26"/>
      <c r="E72" s="26"/>
      <c r="F72" s="26"/>
      <c r="G72" s="26"/>
      <c r="H72" s="26"/>
      <c r="I72" s="26"/>
      <c r="J72" s="26"/>
      <c r="K72" s="26"/>
      <c r="L72" s="26"/>
      <c r="M72" s="36" t="s">
        <v>193</v>
      </c>
      <c r="N72" s="34"/>
    </row>
    <row r="73" spans="1:14" x14ac:dyDescent="0.2">
      <c r="A73" s="124" t="s">
        <v>175</v>
      </c>
      <c r="B73" s="16" t="str">
        <f>IF(B64,AND(B66&gt;B67,B66&lt;B68),"-")</f>
        <v>-</v>
      </c>
      <c r="C73" s="26" t="str">
        <f>IF(AND(B$64,B73),"Phase: Saturated liquid/vapor mixture (2-phase). Selected second property is between 'f' and 'g' properties","-")</f>
        <v>-</v>
      </c>
      <c r="D73" s="26"/>
      <c r="E73" s="26"/>
      <c r="F73" s="26"/>
      <c r="G73" s="26"/>
      <c r="H73" s="26"/>
      <c r="I73" s="26"/>
      <c r="J73" s="26"/>
      <c r="K73" s="26"/>
      <c r="L73" s="26"/>
      <c r="M73" s="36" t="s">
        <v>192</v>
      </c>
      <c r="N73" s="34"/>
    </row>
    <row r="74" spans="1:14" x14ac:dyDescent="0.2">
      <c r="A74" s="120" t="s">
        <v>158</v>
      </c>
      <c r="B74" s="36" t="b">
        <f>IF(B64,OR(B69:B73),FALSE)</f>
        <v>0</v>
      </c>
      <c r="C74" s="30" t="str">
        <f>IF(B74,IF(B69,C69,IF(B70,C70,IF(B71,C71,IF(B72,C72,IF(B73,C73,"-"))))),"-")</f>
        <v>-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5"/>
    </row>
    <row r="75" spans="1:14" x14ac:dyDescent="0.2">
      <c r="A75" s="93"/>
      <c r="B75" s="26"/>
    </row>
    <row r="76" spans="1:14" x14ac:dyDescent="0.2">
      <c r="A76" s="134" t="s">
        <v>176</v>
      </c>
      <c r="B76" s="50"/>
      <c r="C76" s="50"/>
      <c r="D76" s="50"/>
      <c r="E76" s="50"/>
      <c r="F76" s="51"/>
      <c r="G76" s="22"/>
      <c r="H76" s="22"/>
      <c r="I76" s="22"/>
      <c r="J76" s="22"/>
      <c r="K76" s="22"/>
      <c r="L76" s="22"/>
      <c r="M76" s="22"/>
      <c r="N76" s="78"/>
    </row>
    <row r="77" spans="1:14" x14ac:dyDescent="0.2">
      <c r="A77" s="125"/>
      <c r="B77" s="30"/>
      <c r="C77" s="30" t="str">
        <f>IF(B56,C56,IF(B62,C62,IF(B74,C74,"TROUBLE.  You must select two different properties.")))</f>
        <v>Phase:  Compressed Liquid. Temperature is below is below boiling point temperature at specified pressure. Use P-v diagram to verify.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5"/>
    </row>
    <row r="78" spans="1:14" x14ac:dyDescent="0.2">
      <c r="A78" s="93"/>
      <c r="B78" s="26"/>
    </row>
    <row r="79" spans="1:14" x14ac:dyDescent="0.2">
      <c r="A79" s="134" t="s">
        <v>177</v>
      </c>
      <c r="B79" s="50"/>
      <c r="C79" s="50"/>
      <c r="D79" s="50"/>
      <c r="E79" s="50"/>
      <c r="F79" s="51"/>
      <c r="G79" s="22"/>
      <c r="H79" s="22"/>
      <c r="I79" s="22"/>
      <c r="J79" s="22"/>
      <c r="K79" s="22"/>
      <c r="L79" s="22"/>
      <c r="M79" s="22"/>
      <c r="N79" s="78"/>
    </row>
    <row r="80" spans="1:14" x14ac:dyDescent="0.2">
      <c r="A80" s="125" t="s">
        <v>178</v>
      </c>
      <c r="B80" s="18" t="b">
        <f>OR(B69,B61,B53)</f>
        <v>1</v>
      </c>
      <c r="C80" s="30" t="str">
        <f>IF(B80,"For compressed liquids, evaluate v, u, h, and s as saturated liquid at the TEMPERATURE of the liquid. See text section 3.10.","")</f>
        <v>For compressed liquids, evaluate v, u, h, and s as saturated liquid at the TEMPERATURE of the liquid. See text section 3.10.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5"/>
    </row>
    <row r="81" spans="1:14" x14ac:dyDescent="0.2">
      <c r="A81" s="93"/>
      <c r="B81" s="26"/>
    </row>
    <row r="82" spans="1:14" x14ac:dyDescent="0.2">
      <c r="A82" s="134" t="s">
        <v>180</v>
      </c>
      <c r="B82" s="50"/>
      <c r="C82" s="50"/>
      <c r="D82" s="50"/>
      <c r="E82" s="50"/>
      <c r="F82" s="51"/>
      <c r="G82" s="22"/>
      <c r="H82" s="22"/>
      <c r="I82" s="22"/>
      <c r="J82" s="22"/>
      <c r="K82" s="22"/>
      <c r="L82" s="22"/>
      <c r="M82" s="22"/>
      <c r="N82" s="78"/>
    </row>
    <row r="83" spans="1:14" ht="22.5" x14ac:dyDescent="0.2">
      <c r="A83" s="82"/>
      <c r="B83" s="26"/>
      <c r="C83" s="73" t="s">
        <v>181</v>
      </c>
      <c r="D83" s="136" t="s">
        <v>182</v>
      </c>
      <c r="E83" s="26"/>
      <c r="F83" s="26"/>
      <c r="G83" s="26"/>
      <c r="H83" s="26"/>
      <c r="I83" s="26"/>
      <c r="J83" s="26"/>
      <c r="K83" s="26"/>
      <c r="L83" s="26"/>
      <c r="M83" s="26"/>
      <c r="N83" s="34"/>
    </row>
    <row r="84" spans="1:14" x14ac:dyDescent="0.2">
      <c r="A84" s="113" t="str">
        <f>A6</f>
        <v>P, Pressure (kPa)</v>
      </c>
      <c r="B84" s="135">
        <f>B6</f>
        <v>105</v>
      </c>
      <c r="C84" s="36" t="b">
        <f>A84=A91</f>
        <v>0</v>
      </c>
      <c r="D84" s="36" t="b">
        <f>IF(C84,B84&lt;0.01,FALSE)</f>
        <v>0</v>
      </c>
      <c r="E84" s="26"/>
      <c r="F84" s="26"/>
      <c r="G84" s="26"/>
      <c r="H84" s="26"/>
      <c r="I84" s="26"/>
      <c r="J84" s="26"/>
      <c r="K84" s="26"/>
      <c r="L84" s="26"/>
      <c r="M84" s="26"/>
      <c r="N84" s="34"/>
    </row>
    <row r="85" spans="1:14" x14ac:dyDescent="0.2">
      <c r="A85" s="113" t="str">
        <f>A7</f>
        <v>T, Temperature (deg C)</v>
      </c>
      <c r="B85" s="135">
        <f>B7</f>
        <v>25</v>
      </c>
      <c r="C85" s="16" t="b">
        <f>A85=A91</f>
        <v>1</v>
      </c>
      <c r="D85" s="16" t="b">
        <f>IF(C85,B85&lt;0.01,FALSE)</f>
        <v>0</v>
      </c>
      <c r="E85" s="26"/>
      <c r="F85" s="26"/>
      <c r="G85" s="26"/>
      <c r="H85" s="26"/>
      <c r="I85" s="26"/>
      <c r="J85" s="26"/>
      <c r="K85" s="26"/>
      <c r="L85" s="26"/>
      <c r="M85" s="26"/>
      <c r="N85" s="34"/>
    </row>
    <row r="86" spans="1:14" x14ac:dyDescent="0.2">
      <c r="A86" s="125"/>
      <c r="B86" s="30"/>
      <c r="C86" s="110" t="str">
        <f>IF(OR(D84:D85),"Specified temperature must be &gt; 0.01 deg C.  Phase will be 'ice', 'liquid/ice', or 'vapor/ice' below 0.01 deg C","")</f>
        <v/>
      </c>
      <c r="D86" s="99"/>
      <c r="E86" s="99"/>
      <c r="F86" s="99"/>
      <c r="G86" s="99"/>
      <c r="H86" s="99"/>
      <c r="I86" s="99"/>
      <c r="J86" s="99"/>
      <c r="K86" s="99"/>
      <c r="L86" s="100"/>
      <c r="M86" s="30"/>
      <c r="N86" s="35"/>
    </row>
    <row r="89" spans="1:14" x14ac:dyDescent="0.2">
      <c r="A89" s="46" t="s">
        <v>189</v>
      </c>
      <c r="B89" s="50"/>
      <c r="C89" s="51"/>
    </row>
    <row r="90" spans="1:14" x14ac:dyDescent="0.2">
      <c r="A90" s="85" t="s">
        <v>142</v>
      </c>
      <c r="B90" s="26"/>
      <c r="C90" s="34"/>
    </row>
    <row r="91" spans="1:14" x14ac:dyDescent="0.2">
      <c r="A91" s="40" t="s">
        <v>143</v>
      </c>
      <c r="B91" s="26"/>
      <c r="C91" s="34"/>
    </row>
    <row r="92" spans="1:14" x14ac:dyDescent="0.2">
      <c r="A92" s="82"/>
      <c r="B92" s="26"/>
      <c r="C92" s="34"/>
    </row>
    <row r="93" spans="1:14" ht="33.75" x14ac:dyDescent="0.2">
      <c r="A93" s="142" t="s">
        <v>190</v>
      </c>
      <c r="B93" s="143" t="s">
        <v>168</v>
      </c>
      <c r="C93" s="143" t="s">
        <v>169</v>
      </c>
    </row>
    <row r="94" spans="1:14" x14ac:dyDescent="0.2">
      <c r="A94" s="40" t="s">
        <v>142</v>
      </c>
      <c r="B94" s="36"/>
      <c r="C94" s="36"/>
    </row>
    <row r="95" spans="1:14" x14ac:dyDescent="0.2">
      <c r="A95" s="40" t="s">
        <v>143</v>
      </c>
      <c r="B95" s="36"/>
      <c r="C95" s="36"/>
    </row>
    <row r="96" spans="1:14" ht="22.5" x14ac:dyDescent="0.2">
      <c r="A96" s="40" t="s">
        <v>144</v>
      </c>
      <c r="B96" s="141" t="s">
        <v>2</v>
      </c>
      <c r="C96" s="141" t="s">
        <v>3</v>
      </c>
    </row>
    <row r="97" spans="1:7" x14ac:dyDescent="0.2">
      <c r="A97" s="40" t="s">
        <v>145</v>
      </c>
      <c r="B97" s="141" t="s">
        <v>4</v>
      </c>
      <c r="C97" s="141" t="s">
        <v>5</v>
      </c>
    </row>
    <row r="98" spans="1:7" x14ac:dyDescent="0.2">
      <c r="A98" s="40" t="s">
        <v>146</v>
      </c>
      <c r="B98" s="141" t="s">
        <v>6</v>
      </c>
      <c r="C98" s="141" t="s">
        <v>8</v>
      </c>
    </row>
    <row r="103" spans="1:7" x14ac:dyDescent="0.2">
      <c r="G103" s="115"/>
    </row>
  </sheetData>
  <dataValidations count="2">
    <dataValidation type="list" allowBlank="1" showInputMessage="1" showErrorMessage="1" sqref="A6">
      <formula1>$A$90:$A$91</formula1>
    </dataValidation>
    <dataValidation type="list" allowBlank="1" showInputMessage="1" showErrorMessage="1" sqref="A7">
      <formula1>$A$94:$A$98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topLeftCell="A2" workbookViewId="0">
      <selection activeCell="A13" sqref="A13:AK15"/>
    </sheetView>
  </sheetViews>
  <sheetFormatPr defaultRowHeight="11.25" x14ac:dyDescent="0.2"/>
  <cols>
    <col min="1" max="1" width="12.83203125" customWidth="1"/>
    <col min="2" max="2" width="10.6640625" customWidth="1"/>
    <col min="3" max="3" width="10.83203125" customWidth="1"/>
    <col min="4" max="4" width="14" customWidth="1"/>
    <col min="10" max="10" width="10.33203125" bestFit="1" customWidth="1"/>
    <col min="11" max="11" width="10.33203125" customWidth="1"/>
    <col min="12" max="12" width="6.33203125" customWidth="1"/>
  </cols>
  <sheetData>
    <row r="1" spans="1:37" ht="15.75" hidden="1" customHeight="1" x14ac:dyDescent="0.25">
      <c r="A1" s="10" t="s">
        <v>48</v>
      </c>
    </row>
    <row r="3" spans="1:37" x14ac:dyDescent="0.2">
      <c r="A3" s="46" t="s">
        <v>75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1"/>
    </row>
    <row r="4" spans="1:37" ht="45" x14ac:dyDescent="0.2">
      <c r="A4" s="45" t="s">
        <v>0</v>
      </c>
      <c r="B4" s="45" t="s">
        <v>1</v>
      </c>
      <c r="C4" s="45" t="s">
        <v>2</v>
      </c>
      <c r="D4" s="45" t="s">
        <v>3</v>
      </c>
      <c r="E4" s="45" t="s">
        <v>4</v>
      </c>
      <c r="F4" s="45" t="s">
        <v>5</v>
      </c>
      <c r="G4" s="45" t="s">
        <v>6</v>
      </c>
      <c r="H4" s="45" t="s">
        <v>7</v>
      </c>
      <c r="I4" s="45" t="s">
        <v>8</v>
      </c>
      <c r="J4" s="45" t="s">
        <v>9</v>
      </c>
      <c r="K4" s="7" t="s">
        <v>10</v>
      </c>
      <c r="L4" s="52" t="s">
        <v>49</v>
      </c>
      <c r="M4" s="52" t="s">
        <v>50</v>
      </c>
      <c r="N4" s="52" t="s">
        <v>51</v>
      </c>
      <c r="O4" s="52" t="s">
        <v>52</v>
      </c>
      <c r="P4" s="53" t="s">
        <v>53</v>
      </c>
      <c r="Q4" s="53" t="s">
        <v>54</v>
      </c>
      <c r="R4" s="53" t="s">
        <v>55</v>
      </c>
      <c r="S4" s="53" t="s">
        <v>56</v>
      </c>
      <c r="T4" s="53" t="s">
        <v>57</v>
      </c>
      <c r="U4" s="53" t="s">
        <v>58</v>
      </c>
      <c r="V4" s="53" t="s">
        <v>59</v>
      </c>
      <c r="W4" s="53" t="s">
        <v>60</v>
      </c>
      <c r="X4" s="53" t="s">
        <v>61</v>
      </c>
      <c r="Y4" s="53" t="s">
        <v>62</v>
      </c>
      <c r="Z4" s="53" t="s">
        <v>63</v>
      </c>
      <c r="AA4" s="53" t="s">
        <v>64</v>
      </c>
      <c r="AB4" s="53" t="s">
        <v>65</v>
      </c>
      <c r="AC4" s="53" t="s">
        <v>66</v>
      </c>
      <c r="AD4" s="53" t="s">
        <v>67</v>
      </c>
      <c r="AE4" s="53" t="s">
        <v>68</v>
      </c>
      <c r="AF4" s="53" t="s">
        <v>69</v>
      </c>
      <c r="AG4" s="53" t="s">
        <v>70</v>
      </c>
      <c r="AH4" s="53" t="s">
        <v>71</v>
      </c>
      <c r="AI4" s="53" t="s">
        <v>72</v>
      </c>
      <c r="AJ4" s="53" t="s">
        <v>73</v>
      </c>
      <c r="AK4" s="53" t="s">
        <v>74</v>
      </c>
    </row>
    <row r="5" spans="1:37" x14ac:dyDescent="0.2">
      <c r="A5" s="40">
        <v>121</v>
      </c>
      <c r="B5" s="4">
        <f>R5+($A5-$N5)/($O5-$N5)*(S5-R5)</f>
        <v>205.66</v>
      </c>
      <c r="C5" s="56">
        <f>T5+($A5-$N5)/($O5-$N5)*(U5-T5)</f>
        <v>1.06124E-3</v>
      </c>
      <c r="D5" s="39">
        <f>V5+($A5-$N5)/($O5-$N5)*(W5-V5)</f>
        <v>0.86956</v>
      </c>
      <c r="E5" s="4">
        <f>X5+($A5-$N5)/($O5-$N5)*(Y5-X5)</f>
        <v>507.75200000000001</v>
      </c>
      <c r="F5" s="4">
        <f>Z5+($A5-$N5)/($O5-$N5)*(AA5-Z5)</f>
        <v>2530.36</v>
      </c>
      <c r="G5" s="4">
        <f>AB5+($A5-$N5)/($O5-$N5)*(AC5-AB5)</f>
        <v>507.96999999999997</v>
      </c>
      <c r="H5" s="4">
        <f>AD5+($A5-$N5)/($O5-$N5)*(AE5-AD5)</f>
        <v>2199.7599999999998</v>
      </c>
      <c r="I5" s="4">
        <f>AF5+($A5-$N5)/($O5-$N5)*(AG5-AF5)</f>
        <v>2707.7200000000003</v>
      </c>
      <c r="J5" s="39">
        <f>AH5+($A5-$N5)/($O5-$N5)*(AI5-AH5)</f>
        <v>1.5382800000000001</v>
      </c>
      <c r="K5" s="39">
        <f>AJ5+($A5-$N5)/($O5-$N5)*(AK5-AJ5)</f>
        <v>7.1193299999999997</v>
      </c>
      <c r="L5" s="54"/>
      <c r="M5" s="36">
        <f>MATCH(A5,TemperatureSI!A:A)</f>
        <v>50</v>
      </c>
      <c r="N5" s="36">
        <f>INDEX(TemperatureSI!A:A,M5)</f>
        <v>120</v>
      </c>
      <c r="O5" s="36">
        <f>INDEX(TemperatureSI!A:A,M5+1)</f>
        <v>130</v>
      </c>
      <c r="P5" s="36">
        <f>INDEX(TemperatureSI!$A:$A,$M5)</f>
        <v>120</v>
      </c>
      <c r="Q5" s="36">
        <f>INDEX(TemperatureSI!$A:$A,$M5+1)</f>
        <v>130</v>
      </c>
      <c r="R5" s="36">
        <f>INDEX(TemperatureSI!$B:$B,$M5)</f>
        <v>198.5</v>
      </c>
      <c r="S5" s="36">
        <f>INDEX(TemperatureSI!$B:$B,$M5+1)</f>
        <v>270.10000000000002</v>
      </c>
      <c r="T5" s="36">
        <f>INDEX(TemperatureSI!$C:$C,$M5)</f>
        <v>1.0602999999999999E-3</v>
      </c>
      <c r="U5" s="36">
        <f>INDEX(TemperatureSI!$C:$C,$M5+1)</f>
        <v>1.0697E-3</v>
      </c>
      <c r="V5" s="36">
        <f>INDEX(TemperatureSI!$D:$D,$M5)</f>
        <v>0.89190000000000003</v>
      </c>
      <c r="W5" s="36">
        <f>INDEX(TemperatureSI!$D:$D,$M5+1)</f>
        <v>0.66849999999999998</v>
      </c>
      <c r="X5" s="36">
        <f>INDEX(TemperatureSI!$E:$E,$M5)</f>
        <v>503.5</v>
      </c>
      <c r="Y5" s="36">
        <f>INDEX(TemperatureSI!$E:$E,$M5+1)</f>
        <v>546.02</v>
      </c>
      <c r="Z5" s="36">
        <f>INDEX(TemperatureSI!$F:$F,$M5)</f>
        <v>2529.3000000000002</v>
      </c>
      <c r="AA5" s="36">
        <f>INDEX(TemperatureSI!$F:$F,$M5+1)</f>
        <v>2539.9</v>
      </c>
      <c r="AB5" s="36">
        <f>INDEX(TemperatureSI!$G:$G,$M5)</f>
        <v>503.71</v>
      </c>
      <c r="AC5" s="36">
        <f>INDEX(TemperatureSI!$G:$G,$M5+1)</f>
        <v>546.30999999999995</v>
      </c>
      <c r="AD5" s="36">
        <f>INDEX(TemperatureSI!$H:$H,$M5)</f>
        <v>2202.6</v>
      </c>
      <c r="AE5" s="36">
        <f>INDEX(TemperatureSI!$H:$H,$M5+1)</f>
        <v>2174.1999999999998</v>
      </c>
      <c r="AF5" s="36">
        <f>INDEX(TemperatureSI!$I:$I,$M5)</f>
        <v>2706.3</v>
      </c>
      <c r="AG5" s="36">
        <f>INDEX(TemperatureSI!$I:$I,$M5+1)</f>
        <v>2720.5</v>
      </c>
      <c r="AH5" s="36">
        <f>INDEX(TemperatureSI!$J:$J,$M5)</f>
        <v>1.5276000000000001</v>
      </c>
      <c r="AI5" s="36">
        <f>INDEX(TemperatureSI!$J:$J,$M5+1)</f>
        <v>1.6344000000000001</v>
      </c>
      <c r="AJ5" s="36">
        <f>INDEX(TemperatureSI!$K:$K,$M5)</f>
        <v>7.1295999999999999</v>
      </c>
      <c r="AK5" s="36">
        <f>INDEX(TemperatureSI!$K:$K,$M5+1)</f>
        <v>7.0269000000000004</v>
      </c>
    </row>
    <row r="8" spans="1:37" x14ac:dyDescent="0.2">
      <c r="A8" s="46" t="s">
        <v>76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1"/>
    </row>
    <row r="9" spans="1:37" ht="45" x14ac:dyDescent="0.2">
      <c r="A9" s="45" t="s">
        <v>0</v>
      </c>
      <c r="B9" s="45" t="s">
        <v>1</v>
      </c>
      <c r="C9" s="45" t="s">
        <v>2</v>
      </c>
      <c r="D9" s="45" t="s">
        <v>3</v>
      </c>
      <c r="E9" s="45" t="s">
        <v>4</v>
      </c>
      <c r="F9" s="45" t="s">
        <v>5</v>
      </c>
      <c r="G9" s="45" t="s">
        <v>6</v>
      </c>
      <c r="H9" s="45" t="s">
        <v>7</v>
      </c>
      <c r="I9" s="45" t="s">
        <v>8</v>
      </c>
      <c r="J9" s="45" t="s">
        <v>9</v>
      </c>
      <c r="K9" s="7" t="s">
        <v>10</v>
      </c>
      <c r="L9" s="52" t="s">
        <v>49</v>
      </c>
      <c r="M9" s="52" t="s">
        <v>50</v>
      </c>
      <c r="N9" s="52" t="s">
        <v>51</v>
      </c>
      <c r="O9" s="52" t="s">
        <v>52</v>
      </c>
      <c r="P9" s="53" t="s">
        <v>53</v>
      </c>
      <c r="Q9" s="53" t="s">
        <v>54</v>
      </c>
      <c r="R9" s="53" t="s">
        <v>55</v>
      </c>
      <c r="S9" s="53" t="s">
        <v>56</v>
      </c>
      <c r="T9" s="53" t="s">
        <v>57</v>
      </c>
      <c r="U9" s="53" t="s">
        <v>58</v>
      </c>
      <c r="V9" s="53" t="s">
        <v>59</v>
      </c>
      <c r="W9" s="53" t="s">
        <v>60</v>
      </c>
      <c r="X9" s="53" t="s">
        <v>61</v>
      </c>
      <c r="Y9" s="53" t="s">
        <v>62</v>
      </c>
      <c r="Z9" s="53" t="s">
        <v>63</v>
      </c>
      <c r="AA9" s="53" t="s">
        <v>64</v>
      </c>
      <c r="AB9" s="53" t="s">
        <v>65</v>
      </c>
      <c r="AC9" s="53" t="s">
        <v>66</v>
      </c>
      <c r="AD9" s="53" t="s">
        <v>67</v>
      </c>
      <c r="AE9" s="53" t="s">
        <v>68</v>
      </c>
      <c r="AF9" s="53" t="s">
        <v>69</v>
      </c>
      <c r="AG9" s="53" t="s">
        <v>70</v>
      </c>
      <c r="AH9" s="53" t="s">
        <v>71</v>
      </c>
      <c r="AI9" s="53" t="s">
        <v>72</v>
      </c>
      <c r="AJ9" s="53" t="s">
        <v>73</v>
      </c>
      <c r="AK9" s="53" t="s">
        <v>74</v>
      </c>
    </row>
    <row r="10" spans="1:37" x14ac:dyDescent="0.2">
      <c r="A10" s="4">
        <f>P10+($B10-$N10)/($O10-$N10)*(Q10-P10)</f>
        <v>121.04748603351955</v>
      </c>
      <c r="B10" s="57">
        <v>206</v>
      </c>
      <c r="C10" s="56">
        <f>T10+($B10-$N10)/($O10-$N10)*(U10-T10)</f>
        <v>1.0612846368715082E-3</v>
      </c>
      <c r="D10" s="39">
        <f>V10+($B10-$N10)/($O10-$N10)*(W10-V10)</f>
        <v>0.86849916201117316</v>
      </c>
      <c r="E10" s="4">
        <f>X10+($B10-$N10)/($O10-$N10)*(Y10-X10)</f>
        <v>507.95391061452511</v>
      </c>
      <c r="F10" s="4">
        <f>Z10+($B10-$N10)/($O10-$N10)*(AA10-Z10)</f>
        <v>2530.4103351955309</v>
      </c>
      <c r="G10" s="4">
        <f>AB10+($B10-$N10)/($O10-$N10)*(AC10-AB10)</f>
        <v>508.17229050279326</v>
      </c>
      <c r="H10" s="4">
        <f>AD10+($B10-$N10)/($O10-$N10)*(AE10-AD10)</f>
        <v>2199.6251396648045</v>
      </c>
      <c r="I10" s="4">
        <f>AF10+($B10-$N10)/($O10-$N10)*(AG10-AF10)</f>
        <v>2707.7874301675979</v>
      </c>
      <c r="J10" s="39">
        <f>AH10+($B10-$N10)/($O10-$N10)*(AI10-AH10)</f>
        <v>1.5387871508379889</v>
      </c>
      <c r="K10" s="39">
        <f>AJ10+($B10-$N10)/($O10-$N10)*(AK10-AJ10)</f>
        <v>7.1188423184357541</v>
      </c>
      <c r="L10" s="54"/>
      <c r="M10" s="36">
        <f>MATCH(B10,TemperatureSI!B:B)</f>
        <v>50</v>
      </c>
      <c r="N10" s="36">
        <f>INDEX(TemperatureSI!B:B,M10)</f>
        <v>198.5</v>
      </c>
      <c r="O10" s="36">
        <f>INDEX(TemperatureSI!B:B,M10+1)</f>
        <v>270.10000000000002</v>
      </c>
      <c r="P10" s="36">
        <f>INDEX(TemperatureSI!$A:$A,$M10)</f>
        <v>120</v>
      </c>
      <c r="Q10" s="36">
        <f>INDEX(TemperatureSI!$A:$A,$M10+1)</f>
        <v>130</v>
      </c>
      <c r="R10" s="36">
        <f>INDEX(TemperatureSI!$B:$B,$M10)</f>
        <v>198.5</v>
      </c>
      <c r="S10" s="36">
        <f>INDEX(TemperatureSI!$B:$B,$M10+1)</f>
        <v>270.10000000000002</v>
      </c>
      <c r="T10" s="36">
        <f>INDEX(TemperatureSI!$C:$C,$M10)</f>
        <v>1.0602999999999999E-3</v>
      </c>
      <c r="U10" s="36">
        <f>INDEX(TemperatureSI!$C:$C,$M10+1)</f>
        <v>1.0697E-3</v>
      </c>
      <c r="V10" s="36">
        <f>INDEX(TemperatureSI!$D:$D,$M10)</f>
        <v>0.89190000000000003</v>
      </c>
      <c r="W10" s="36">
        <f>INDEX(TemperatureSI!$D:$D,$M10+1)</f>
        <v>0.66849999999999998</v>
      </c>
      <c r="X10" s="36">
        <f>INDEX(TemperatureSI!$E:$E,$M10)</f>
        <v>503.5</v>
      </c>
      <c r="Y10" s="36">
        <f>INDEX(TemperatureSI!$E:$E,$M10+1)</f>
        <v>546.02</v>
      </c>
      <c r="Z10" s="36">
        <f>INDEX(TemperatureSI!$F:$F,$M10)</f>
        <v>2529.3000000000002</v>
      </c>
      <c r="AA10" s="36">
        <f>INDEX(TemperatureSI!$F:$F,$M10+1)</f>
        <v>2539.9</v>
      </c>
      <c r="AB10" s="36">
        <f>INDEX(TemperatureSI!$G:$G,$M10)</f>
        <v>503.71</v>
      </c>
      <c r="AC10" s="36">
        <f>INDEX(TemperatureSI!$G:$G,$M10+1)</f>
        <v>546.30999999999995</v>
      </c>
      <c r="AD10" s="36">
        <f>INDEX(TemperatureSI!$H:$H,$M10)</f>
        <v>2202.6</v>
      </c>
      <c r="AE10" s="36">
        <f>INDEX(TemperatureSI!$H:$H,$M10+1)</f>
        <v>2174.1999999999998</v>
      </c>
      <c r="AF10" s="36">
        <f>INDEX(TemperatureSI!$I:$I,$M10)</f>
        <v>2706.3</v>
      </c>
      <c r="AG10" s="36">
        <f>INDEX(TemperatureSI!$I:$I,$M10+1)</f>
        <v>2720.5</v>
      </c>
      <c r="AH10" s="36">
        <f>INDEX(TemperatureSI!$J:$J,$M10)</f>
        <v>1.5276000000000001</v>
      </c>
      <c r="AI10" s="36">
        <f>INDEX(TemperatureSI!$J:$J,$M10+1)</f>
        <v>1.6344000000000001</v>
      </c>
      <c r="AJ10" s="36">
        <f>INDEX(TemperatureSI!$K:$K,$M10)</f>
        <v>7.1295999999999999</v>
      </c>
      <c r="AK10" s="36">
        <f>INDEX(TemperatureSI!$K:$K,$M10+1)</f>
        <v>7.0269000000000004</v>
      </c>
    </row>
    <row r="12" spans="1:37" x14ac:dyDescent="0.2">
      <c r="K12" s="55"/>
    </row>
    <row r="13" spans="1:37" x14ac:dyDescent="0.2">
      <c r="A13" s="46" t="s">
        <v>223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1"/>
    </row>
    <row r="14" spans="1:37" ht="45" x14ac:dyDescent="0.2">
      <c r="A14" s="45" t="s">
        <v>0</v>
      </c>
      <c r="B14" s="45" t="s">
        <v>1</v>
      </c>
      <c r="C14" s="45" t="s">
        <v>2</v>
      </c>
      <c r="D14" s="45" t="s">
        <v>3</v>
      </c>
      <c r="E14" s="45" t="s">
        <v>4</v>
      </c>
      <c r="F14" s="45" t="s">
        <v>5</v>
      </c>
      <c r="G14" s="45" t="s">
        <v>6</v>
      </c>
      <c r="H14" s="45" t="s">
        <v>7</v>
      </c>
      <c r="I14" s="45" t="s">
        <v>8</v>
      </c>
      <c r="J14" s="45" t="s">
        <v>9</v>
      </c>
      <c r="K14" s="7" t="s">
        <v>10</v>
      </c>
      <c r="L14" s="52" t="s">
        <v>49</v>
      </c>
      <c r="M14" s="52" t="s">
        <v>50</v>
      </c>
      <c r="N14" s="52" t="s">
        <v>51</v>
      </c>
      <c r="O14" s="52" t="s">
        <v>52</v>
      </c>
      <c r="P14" s="53" t="s">
        <v>53</v>
      </c>
      <c r="Q14" s="53" t="s">
        <v>54</v>
      </c>
      <c r="R14" s="53" t="s">
        <v>55</v>
      </c>
      <c r="S14" s="53" t="s">
        <v>56</v>
      </c>
      <c r="T14" s="53" t="s">
        <v>57</v>
      </c>
      <c r="U14" s="53" t="s">
        <v>58</v>
      </c>
      <c r="V14" s="53" t="s">
        <v>59</v>
      </c>
      <c r="W14" s="53" t="s">
        <v>60</v>
      </c>
      <c r="X14" s="53" t="s">
        <v>61</v>
      </c>
      <c r="Y14" s="53" t="s">
        <v>62</v>
      </c>
      <c r="Z14" s="53" t="s">
        <v>63</v>
      </c>
      <c r="AA14" s="53" t="s">
        <v>64</v>
      </c>
      <c r="AB14" s="53" t="s">
        <v>65</v>
      </c>
      <c r="AC14" s="53" t="s">
        <v>66</v>
      </c>
      <c r="AD14" s="53" t="s">
        <v>67</v>
      </c>
      <c r="AE14" s="53" t="s">
        <v>68</v>
      </c>
      <c r="AF14" s="53" t="s">
        <v>69</v>
      </c>
      <c r="AG14" s="53" t="s">
        <v>70</v>
      </c>
      <c r="AH14" s="53" t="s">
        <v>71</v>
      </c>
      <c r="AI14" s="53" t="s">
        <v>72</v>
      </c>
      <c r="AJ14" s="53" t="s">
        <v>73</v>
      </c>
      <c r="AK14" s="53" t="s">
        <v>74</v>
      </c>
    </row>
    <row r="15" spans="1:37" x14ac:dyDescent="0.2">
      <c r="A15" s="4">
        <f>P15+($G15-$N15)/($O15-$N15)*(Q15-P15)</f>
        <v>121</v>
      </c>
      <c r="B15" s="4">
        <f>R15+($G15-$N15)/($O15-$N15)*(S15-R15)</f>
        <v>205.66</v>
      </c>
      <c r="C15" s="56">
        <f>T15+($G15-$N15)/($O15-$N15)*(U15-T15)</f>
        <v>1.06124E-3</v>
      </c>
      <c r="D15" s="39">
        <f>V15+($G15-$N15)/($O15-$N15)*(W15-V15)</f>
        <v>0.86956</v>
      </c>
      <c r="E15" s="4">
        <f>X15+($G15-$N15)/($O15-$N15)*(Y15-X15)</f>
        <v>507.75200000000001</v>
      </c>
      <c r="F15" s="4">
        <f>Z15+($G15-$N15)/($O15-$N15)*(AA15-Z15)</f>
        <v>2530.36</v>
      </c>
      <c r="G15" s="57">
        <v>507.96999999999997</v>
      </c>
      <c r="H15" s="4">
        <f>AD15+($G15-$N15)/($O15-$N15)*(AE15-AD15)</f>
        <v>2199.7599999999998</v>
      </c>
      <c r="I15" s="4">
        <f>AF15+($G15-$N15)/($O15-$N15)*(AG15-AF15)</f>
        <v>2707.7200000000003</v>
      </c>
      <c r="J15" s="39">
        <f>AH15+($G15-$N15)/($O15-$N15)*(AI15-AH15)</f>
        <v>1.5382800000000001</v>
      </c>
      <c r="K15" s="39">
        <f>AJ15+($G15-$N15)/($O15-$N15)*(AK15-AJ15)</f>
        <v>7.1193299999999997</v>
      </c>
      <c r="L15" s="54"/>
      <c r="M15" s="36">
        <f>MATCH(G15,TemperatureSI!G:G)</f>
        <v>50</v>
      </c>
      <c r="N15" s="36">
        <f>INDEX(TemperatureSI!G:G,M15)</f>
        <v>503.71</v>
      </c>
      <c r="O15" s="36">
        <f>INDEX(TemperatureSI!G:G,M15+1)</f>
        <v>546.30999999999995</v>
      </c>
      <c r="P15" s="36">
        <f>INDEX(TemperatureSI!$A:$A,$M15)</f>
        <v>120</v>
      </c>
      <c r="Q15" s="36">
        <f>INDEX(TemperatureSI!$A:$A,$M15+1)</f>
        <v>130</v>
      </c>
      <c r="R15" s="36">
        <f>INDEX(TemperatureSI!$B:$B,$M15)</f>
        <v>198.5</v>
      </c>
      <c r="S15" s="36">
        <f>INDEX(TemperatureSI!$B:$B,$M15+1)</f>
        <v>270.10000000000002</v>
      </c>
      <c r="T15" s="36">
        <f>INDEX(TemperatureSI!$C:$C,$M15)</f>
        <v>1.0602999999999999E-3</v>
      </c>
      <c r="U15" s="36">
        <f>INDEX(TemperatureSI!$C:$C,$M15+1)</f>
        <v>1.0697E-3</v>
      </c>
      <c r="V15" s="36">
        <f>INDEX(TemperatureSI!$D:$D,$M15)</f>
        <v>0.89190000000000003</v>
      </c>
      <c r="W15" s="36">
        <f>INDEX(TemperatureSI!$D:$D,$M15+1)</f>
        <v>0.66849999999999998</v>
      </c>
      <c r="X15" s="36">
        <f>INDEX(TemperatureSI!$E:$E,$M15)</f>
        <v>503.5</v>
      </c>
      <c r="Y15" s="36">
        <f>INDEX(TemperatureSI!$E:$E,$M15+1)</f>
        <v>546.02</v>
      </c>
      <c r="Z15" s="36">
        <f>INDEX(TemperatureSI!$F:$F,$M15)</f>
        <v>2529.3000000000002</v>
      </c>
      <c r="AA15" s="36">
        <f>INDEX(TemperatureSI!$F:$F,$M15+1)</f>
        <v>2539.9</v>
      </c>
      <c r="AB15" s="36">
        <f>INDEX(TemperatureSI!$G:$G,$M15)</f>
        <v>503.71</v>
      </c>
      <c r="AC15" s="36">
        <f>INDEX(TemperatureSI!$G:$G,$M15+1)</f>
        <v>546.30999999999995</v>
      </c>
      <c r="AD15" s="36">
        <f>INDEX(TemperatureSI!$H:$H,$M15)</f>
        <v>2202.6</v>
      </c>
      <c r="AE15" s="36">
        <f>INDEX(TemperatureSI!$H:$H,$M15+1)</f>
        <v>2174.1999999999998</v>
      </c>
      <c r="AF15" s="36">
        <f>INDEX(TemperatureSI!$I:$I,$M15)</f>
        <v>2706.3</v>
      </c>
      <c r="AG15" s="36">
        <f>INDEX(TemperatureSI!$I:$I,$M15+1)</f>
        <v>2720.5</v>
      </c>
      <c r="AH15" s="36">
        <f>INDEX(TemperatureSI!$J:$J,$M15)</f>
        <v>1.5276000000000001</v>
      </c>
      <c r="AI15" s="36">
        <f>INDEX(TemperatureSI!$J:$J,$M15+1)</f>
        <v>1.6344000000000001</v>
      </c>
      <c r="AJ15" s="36">
        <f>INDEX(TemperatureSI!$K:$K,$M15)</f>
        <v>7.1295999999999999</v>
      </c>
      <c r="AK15" s="36">
        <f>INDEX(TemperatureSI!$K:$K,$M15+1)</f>
        <v>7.0269000000000004</v>
      </c>
    </row>
    <row r="23" spans="1:18" ht="12.75" x14ac:dyDescent="0.2">
      <c r="A23" s="153" t="s">
        <v>201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pane ySplit="2" topLeftCell="A3" activePane="bottomLeft" state="frozen"/>
      <selection pane="bottomLeft"/>
    </sheetView>
  </sheetViews>
  <sheetFormatPr defaultRowHeight="11.25" x14ac:dyDescent="0.2"/>
  <cols>
    <col min="1" max="1" width="7.83203125" customWidth="1"/>
    <col min="2" max="2" width="9.6640625" style="3" bestFit="1" customWidth="1"/>
    <col min="3" max="3" width="9.6640625" bestFit="1" customWidth="1"/>
    <col min="4" max="4" width="9.33203125" style="3"/>
    <col min="5" max="5" width="8.6640625" style="5" bestFit="1" customWidth="1"/>
    <col min="6" max="6" width="9" style="11" bestFit="1" customWidth="1"/>
    <col min="7" max="7" width="8.6640625" style="5" bestFit="1" customWidth="1"/>
    <col min="8" max="8" width="8.5" style="11" customWidth="1"/>
    <col min="9" max="9" width="9.33203125" style="11"/>
    <col min="10" max="10" width="11.33203125" style="8" customWidth="1"/>
    <col min="11" max="11" width="11.1640625" style="8" customWidth="1"/>
    <col min="12" max="12" width="7.33203125" customWidth="1"/>
    <col min="14" max="14" width="9.6640625" bestFit="1" customWidth="1"/>
  </cols>
  <sheetData>
    <row r="1" spans="1:14" ht="15.75" x14ac:dyDescent="0.25">
      <c r="A1" s="10" t="s">
        <v>11</v>
      </c>
    </row>
    <row r="2" spans="1:14" ht="22.5" x14ac:dyDescent="0.2">
      <c r="A2" s="1" t="s">
        <v>0</v>
      </c>
      <c r="B2" s="9" t="s">
        <v>1</v>
      </c>
      <c r="C2" s="1" t="s">
        <v>2</v>
      </c>
      <c r="D2" s="1" t="s">
        <v>3</v>
      </c>
      <c r="E2" s="6" t="s">
        <v>4</v>
      </c>
      <c r="F2" s="12" t="s">
        <v>5</v>
      </c>
      <c r="G2" s="6" t="s">
        <v>6</v>
      </c>
      <c r="H2" s="12" t="s">
        <v>7</v>
      </c>
      <c r="I2" s="12" t="s">
        <v>8</v>
      </c>
      <c r="J2" s="7" t="s">
        <v>9</v>
      </c>
      <c r="K2" s="7" t="s">
        <v>10</v>
      </c>
      <c r="L2" s="1" t="s">
        <v>0</v>
      </c>
    </row>
    <row r="3" spans="1:14" x14ac:dyDescent="0.2">
      <c r="A3">
        <v>0.01</v>
      </c>
      <c r="B3" s="3">
        <v>0.61099999999999999</v>
      </c>
      <c r="C3" s="2">
        <v>1.0001999999999999E-3</v>
      </c>
      <c r="D3" s="3">
        <v>206.136</v>
      </c>
      <c r="E3" s="5">
        <v>0</v>
      </c>
      <c r="F3" s="11">
        <v>2375.3000000000002</v>
      </c>
      <c r="G3" s="5">
        <v>0.01</v>
      </c>
      <c r="H3" s="11">
        <v>2501.3000000000002</v>
      </c>
      <c r="I3" s="11">
        <v>2501.4</v>
      </c>
      <c r="J3" s="8">
        <v>0</v>
      </c>
      <c r="K3" s="8">
        <v>9.1562000000000001</v>
      </c>
      <c r="L3">
        <v>0.01</v>
      </c>
      <c r="N3" s="2"/>
    </row>
    <row r="4" spans="1:14" x14ac:dyDescent="0.2">
      <c r="A4">
        <v>4</v>
      </c>
      <c r="B4" s="3">
        <v>0.81300000000000006</v>
      </c>
      <c r="C4" s="2">
        <v>1.0001000000000001E-3</v>
      </c>
      <c r="D4" s="3">
        <v>157.232</v>
      </c>
      <c r="E4" s="5">
        <v>16.77</v>
      </c>
      <c r="F4" s="11">
        <v>2380.9</v>
      </c>
      <c r="G4" s="5">
        <v>16.78</v>
      </c>
      <c r="H4" s="11">
        <v>2491.9</v>
      </c>
      <c r="I4" s="11">
        <v>2508.6999999999998</v>
      </c>
      <c r="J4" s="8">
        <v>6.0999999999999999E-2</v>
      </c>
      <c r="K4" s="8">
        <v>9.0513999999999992</v>
      </c>
      <c r="L4">
        <v>4</v>
      </c>
      <c r="N4" s="2"/>
    </row>
    <row r="5" spans="1:14" x14ac:dyDescent="0.2">
      <c r="A5">
        <v>5</v>
      </c>
      <c r="B5" s="3">
        <v>0.872</v>
      </c>
      <c r="C5" s="2">
        <v>1.0001000000000001E-3</v>
      </c>
      <c r="D5" s="3">
        <v>147.12</v>
      </c>
      <c r="E5" s="5">
        <v>20.97</v>
      </c>
      <c r="F5" s="11">
        <v>2382.3000000000002</v>
      </c>
      <c r="G5" s="5">
        <v>20.98</v>
      </c>
      <c r="H5" s="11">
        <v>2489.6</v>
      </c>
      <c r="I5" s="11">
        <v>2510.6</v>
      </c>
      <c r="J5" s="8">
        <v>7.6100000000000001E-2</v>
      </c>
      <c r="K5" s="8">
        <v>9.0257000000000005</v>
      </c>
      <c r="L5">
        <v>5</v>
      </c>
      <c r="N5" s="2"/>
    </row>
    <row r="6" spans="1:14" x14ac:dyDescent="0.2">
      <c r="A6">
        <v>6</v>
      </c>
      <c r="B6" s="3">
        <v>0.93500000000000005</v>
      </c>
      <c r="C6" s="2">
        <v>1.0001000000000001E-3</v>
      </c>
      <c r="D6" s="3">
        <v>137.73400000000001</v>
      </c>
      <c r="E6" s="5">
        <v>25.19</v>
      </c>
      <c r="F6" s="11">
        <v>2383.6</v>
      </c>
      <c r="G6" s="5">
        <v>25.2</v>
      </c>
      <c r="H6" s="11">
        <v>2487.1999999999998</v>
      </c>
      <c r="I6" s="11">
        <v>2512.4</v>
      </c>
      <c r="J6" s="8">
        <v>9.1200000000000003E-2</v>
      </c>
      <c r="K6" s="8">
        <v>9.0002999999999993</v>
      </c>
      <c r="L6">
        <v>6</v>
      </c>
      <c r="N6" s="2"/>
    </row>
    <row r="7" spans="1:14" x14ac:dyDescent="0.2">
      <c r="A7">
        <v>8</v>
      </c>
      <c r="B7" s="3">
        <v>1.0720000000000001</v>
      </c>
      <c r="C7" s="2">
        <v>1.0001999999999999E-3</v>
      </c>
      <c r="D7" s="3">
        <v>120.917</v>
      </c>
      <c r="E7" s="5">
        <v>33.590000000000003</v>
      </c>
      <c r="F7" s="11">
        <v>2386.4</v>
      </c>
      <c r="G7" s="5">
        <v>33.6</v>
      </c>
      <c r="H7" s="11">
        <v>2482.5</v>
      </c>
      <c r="I7" s="11">
        <v>2516.1</v>
      </c>
      <c r="J7" s="8">
        <v>0.1212</v>
      </c>
      <c r="K7" s="8">
        <v>8.9501000000000008</v>
      </c>
      <c r="L7">
        <v>8</v>
      </c>
      <c r="N7" s="2"/>
    </row>
    <row r="8" spans="1:14" x14ac:dyDescent="0.2">
      <c r="A8">
        <v>10</v>
      </c>
      <c r="B8" s="3">
        <v>1.228</v>
      </c>
      <c r="C8" s="2">
        <v>1.0004E-3</v>
      </c>
      <c r="D8" s="3">
        <v>106.379</v>
      </c>
      <c r="E8" s="5">
        <v>42</v>
      </c>
      <c r="F8" s="11">
        <v>2389.1999999999998</v>
      </c>
      <c r="G8" s="5">
        <v>42.01</v>
      </c>
      <c r="H8" s="11">
        <v>2477.6999999999998</v>
      </c>
      <c r="I8" s="11">
        <v>2519.8000000000002</v>
      </c>
      <c r="J8" s="8">
        <v>0.151</v>
      </c>
      <c r="K8" s="8">
        <v>8.9008000000000003</v>
      </c>
      <c r="L8">
        <v>10</v>
      </c>
      <c r="N8" s="2"/>
    </row>
    <row r="9" spans="1:14" x14ac:dyDescent="0.2">
      <c r="A9">
        <v>11</v>
      </c>
      <c r="B9" s="3">
        <v>1.3120000000000001</v>
      </c>
      <c r="C9" s="2">
        <v>1.0004E-3</v>
      </c>
      <c r="D9" s="3">
        <v>99.856999999999999</v>
      </c>
      <c r="E9" s="5">
        <v>46.2</v>
      </c>
      <c r="F9" s="11">
        <v>2390.5</v>
      </c>
      <c r="G9" s="5">
        <v>46.2</v>
      </c>
      <c r="H9" s="11">
        <v>2475.4</v>
      </c>
      <c r="I9" s="11">
        <v>2521.6</v>
      </c>
      <c r="J9" s="8">
        <v>0.1658</v>
      </c>
      <c r="K9" s="8">
        <v>8.8765000000000001</v>
      </c>
      <c r="L9">
        <v>11</v>
      </c>
      <c r="N9" s="2"/>
    </row>
    <row r="10" spans="1:14" x14ac:dyDescent="0.2">
      <c r="A10">
        <v>12</v>
      </c>
      <c r="B10" s="3">
        <v>1.4019999999999999</v>
      </c>
      <c r="C10" s="2">
        <v>1.0004999999999999E-3</v>
      </c>
      <c r="D10" s="3">
        <v>93.784000000000006</v>
      </c>
      <c r="E10" s="5">
        <v>50.41</v>
      </c>
      <c r="F10" s="11">
        <v>2391.9</v>
      </c>
      <c r="G10" s="5">
        <v>50.41</v>
      </c>
      <c r="H10" s="11">
        <v>2473</v>
      </c>
      <c r="I10" s="11">
        <v>2523.4</v>
      </c>
      <c r="J10" s="8">
        <v>0.18060000000000001</v>
      </c>
      <c r="K10" s="8">
        <v>8.8523999999999994</v>
      </c>
      <c r="L10">
        <v>12</v>
      </c>
      <c r="N10" s="2"/>
    </row>
    <row r="11" spans="1:14" x14ac:dyDescent="0.2">
      <c r="A11">
        <v>13</v>
      </c>
      <c r="B11" s="3">
        <v>1.4970000000000001</v>
      </c>
      <c r="C11" s="2">
        <v>1.0007E-3</v>
      </c>
      <c r="D11" s="3">
        <v>88.123999999999995</v>
      </c>
      <c r="E11" s="5">
        <v>54.6</v>
      </c>
      <c r="F11" s="11">
        <v>2393.3000000000002</v>
      </c>
      <c r="G11" s="5">
        <v>54.6</v>
      </c>
      <c r="H11" s="11">
        <v>2470.6999999999998</v>
      </c>
      <c r="I11" s="11">
        <v>2525.3000000000002</v>
      </c>
      <c r="J11" s="8">
        <v>0.1953</v>
      </c>
      <c r="K11" s="8">
        <v>8.8285</v>
      </c>
      <c r="L11">
        <v>13</v>
      </c>
      <c r="N11" s="2"/>
    </row>
    <row r="12" spans="1:14" x14ac:dyDescent="0.2">
      <c r="A12">
        <v>14</v>
      </c>
      <c r="B12" s="3">
        <v>1.5980000000000001</v>
      </c>
      <c r="C12" s="2">
        <v>1.0007999999999998E-3</v>
      </c>
      <c r="D12" s="3">
        <v>82.847999999999999</v>
      </c>
      <c r="E12" s="5">
        <v>58.79</v>
      </c>
      <c r="F12" s="11">
        <v>2394.6999999999998</v>
      </c>
      <c r="G12" s="5">
        <v>58.8</v>
      </c>
      <c r="H12" s="11">
        <v>2468.3000000000002</v>
      </c>
      <c r="I12" s="11">
        <v>2527.1</v>
      </c>
      <c r="J12" s="8">
        <v>0.2099</v>
      </c>
      <c r="K12" s="8">
        <v>8.8048000000000002</v>
      </c>
      <c r="L12">
        <v>14</v>
      </c>
      <c r="N12" s="2"/>
    </row>
    <row r="13" spans="1:14" x14ac:dyDescent="0.2">
      <c r="A13">
        <v>15</v>
      </c>
      <c r="B13" s="3">
        <v>1.7049999999999998</v>
      </c>
      <c r="C13" s="2">
        <v>1.0008999999999999E-3</v>
      </c>
      <c r="D13" s="3">
        <v>77.926000000000002</v>
      </c>
      <c r="E13" s="5">
        <v>62.99</v>
      </c>
      <c r="F13" s="11">
        <v>2396.1</v>
      </c>
      <c r="G13" s="5">
        <v>62.99</v>
      </c>
      <c r="H13" s="11">
        <v>2465.9</v>
      </c>
      <c r="I13" s="11">
        <v>2528.9</v>
      </c>
      <c r="J13" s="8">
        <v>0.22450000000000001</v>
      </c>
      <c r="K13" s="8">
        <v>8.7813999999999997</v>
      </c>
      <c r="L13">
        <v>15</v>
      </c>
      <c r="N13" s="2"/>
    </row>
    <row r="14" spans="1:14" x14ac:dyDescent="0.2">
      <c r="A14">
        <v>16</v>
      </c>
      <c r="B14" s="3">
        <v>1.8180000000000001</v>
      </c>
      <c r="C14" s="2">
        <v>1.0011E-3</v>
      </c>
      <c r="D14" s="3">
        <v>73.332999999999998</v>
      </c>
      <c r="E14" s="5">
        <v>67.180000000000007</v>
      </c>
      <c r="F14" s="11">
        <v>2397.4</v>
      </c>
      <c r="G14" s="5">
        <v>67.19</v>
      </c>
      <c r="H14" s="11">
        <v>2463.6</v>
      </c>
      <c r="I14" s="11">
        <v>2530.8000000000002</v>
      </c>
      <c r="J14" s="8">
        <v>0.23899999999999999</v>
      </c>
      <c r="K14" s="8">
        <v>8.7582000000000004</v>
      </c>
      <c r="L14">
        <v>16</v>
      </c>
      <c r="N14" s="2"/>
    </row>
    <row r="15" spans="1:14" x14ac:dyDescent="0.2">
      <c r="A15">
        <v>17</v>
      </c>
      <c r="B15" s="3">
        <v>1.9380000000000002</v>
      </c>
      <c r="C15" s="2">
        <v>1.0012E-3</v>
      </c>
      <c r="D15" s="3">
        <v>69.043999999999997</v>
      </c>
      <c r="E15" s="5">
        <v>71.38</v>
      </c>
      <c r="F15" s="11">
        <v>2398.8000000000002</v>
      </c>
      <c r="G15" s="5">
        <v>71.38</v>
      </c>
      <c r="H15" s="11">
        <v>2461.1999999999998</v>
      </c>
      <c r="I15" s="11">
        <v>2532.6</v>
      </c>
      <c r="J15" s="8">
        <v>0.2535</v>
      </c>
      <c r="K15" s="8">
        <v>8.7350999999999992</v>
      </c>
      <c r="L15">
        <v>17</v>
      </c>
      <c r="N15" s="2"/>
    </row>
    <row r="16" spans="1:14" x14ac:dyDescent="0.2">
      <c r="A16">
        <v>18</v>
      </c>
      <c r="B16" s="3">
        <v>2.0640000000000001</v>
      </c>
      <c r="C16" s="2">
        <v>1.0014000000000002E-3</v>
      </c>
      <c r="D16" s="3">
        <v>65.037999999999997</v>
      </c>
      <c r="E16" s="5">
        <v>75.569999999999993</v>
      </c>
      <c r="F16" s="11">
        <v>2400.1999999999998</v>
      </c>
      <c r="G16" s="5">
        <v>75.58</v>
      </c>
      <c r="H16" s="11">
        <v>2458.8000000000002</v>
      </c>
      <c r="I16" s="11">
        <v>2534.4</v>
      </c>
      <c r="J16" s="8">
        <v>0.26790000000000003</v>
      </c>
      <c r="K16" s="8">
        <v>8.7123000000000008</v>
      </c>
      <c r="L16">
        <v>18</v>
      </c>
      <c r="N16" s="2"/>
    </row>
    <row r="17" spans="1:14" x14ac:dyDescent="0.2">
      <c r="A17">
        <v>19</v>
      </c>
      <c r="B17" s="3">
        <v>2.198</v>
      </c>
      <c r="C17" s="2">
        <v>1.0016000000000001E-3</v>
      </c>
      <c r="D17" s="3">
        <v>61.292999999999999</v>
      </c>
      <c r="E17" s="5">
        <v>79.760000000000005</v>
      </c>
      <c r="F17" s="11">
        <v>2401.6</v>
      </c>
      <c r="G17" s="5">
        <v>79.77</v>
      </c>
      <c r="H17" s="11">
        <v>2456.5</v>
      </c>
      <c r="I17" s="11">
        <v>2536.1999999999998</v>
      </c>
      <c r="J17" s="8">
        <v>0.2823</v>
      </c>
      <c r="K17" s="8">
        <v>8.6897000000000002</v>
      </c>
      <c r="L17">
        <v>19</v>
      </c>
      <c r="N17" s="2"/>
    </row>
    <row r="18" spans="1:14" x14ac:dyDescent="0.2">
      <c r="A18">
        <v>20</v>
      </c>
      <c r="B18" s="3">
        <v>2.339</v>
      </c>
      <c r="C18" s="2">
        <v>1.0018E-3</v>
      </c>
      <c r="D18" s="3">
        <v>57.790999999999997</v>
      </c>
      <c r="E18" s="5">
        <v>83.95</v>
      </c>
      <c r="F18" s="11">
        <v>2402.9</v>
      </c>
      <c r="G18" s="5">
        <v>83.96</v>
      </c>
      <c r="H18" s="11">
        <v>2454.1</v>
      </c>
      <c r="I18" s="11">
        <v>2538.1</v>
      </c>
      <c r="J18" s="8">
        <v>0.29659999999999997</v>
      </c>
      <c r="K18" s="8">
        <v>8.6671999999999993</v>
      </c>
      <c r="L18">
        <v>20</v>
      </c>
      <c r="N18" s="2"/>
    </row>
    <row r="19" spans="1:14" x14ac:dyDescent="0.2">
      <c r="A19">
        <v>21</v>
      </c>
      <c r="B19" s="3">
        <v>2.4870000000000001</v>
      </c>
      <c r="C19" s="2">
        <v>1.0020000000000001E-3</v>
      </c>
      <c r="D19" s="3">
        <v>54.514000000000003</v>
      </c>
      <c r="E19" s="5">
        <v>88.14</v>
      </c>
      <c r="F19" s="11">
        <v>2404.3000000000002</v>
      </c>
      <c r="G19" s="5">
        <v>88.14</v>
      </c>
      <c r="H19" s="11">
        <v>2451.8000000000002</v>
      </c>
      <c r="I19" s="11">
        <v>2539.9</v>
      </c>
      <c r="J19" s="8">
        <v>0.31090000000000001</v>
      </c>
      <c r="K19" s="8">
        <v>8.6449999999999996</v>
      </c>
      <c r="L19">
        <v>21</v>
      </c>
      <c r="N19" s="2"/>
    </row>
    <row r="20" spans="1:14" x14ac:dyDescent="0.2">
      <c r="A20">
        <v>22</v>
      </c>
      <c r="B20" s="3">
        <v>2.645</v>
      </c>
      <c r="C20" s="2">
        <v>1.0022E-3</v>
      </c>
      <c r="D20" s="3">
        <v>51.447000000000003</v>
      </c>
      <c r="E20" s="5">
        <v>92.32</v>
      </c>
      <c r="F20" s="11">
        <v>2405.6999999999998</v>
      </c>
      <c r="G20" s="5">
        <v>92.33</v>
      </c>
      <c r="H20" s="11">
        <v>2449.4</v>
      </c>
      <c r="I20" s="11">
        <v>2541.6999999999998</v>
      </c>
      <c r="J20" s="8">
        <v>0.3251</v>
      </c>
      <c r="K20" s="8">
        <v>8.6228999999999996</v>
      </c>
      <c r="L20">
        <v>22</v>
      </c>
      <c r="N20" s="2"/>
    </row>
    <row r="21" spans="1:14" x14ac:dyDescent="0.2">
      <c r="A21">
        <v>23</v>
      </c>
      <c r="B21" s="3">
        <v>2.81</v>
      </c>
      <c r="C21" s="2">
        <v>1.0023999999999999E-3</v>
      </c>
      <c r="D21" s="3">
        <v>48.573999999999998</v>
      </c>
      <c r="E21" s="5">
        <v>96.51</v>
      </c>
      <c r="F21" s="11">
        <v>2407</v>
      </c>
      <c r="G21" s="5">
        <v>96.52</v>
      </c>
      <c r="H21" s="11">
        <v>2447</v>
      </c>
      <c r="I21" s="11">
        <v>2543.5</v>
      </c>
      <c r="J21" s="8">
        <v>0.33929999999999999</v>
      </c>
      <c r="K21" s="8">
        <v>8.6011000000000006</v>
      </c>
      <c r="L21">
        <v>23</v>
      </c>
      <c r="N21" s="2"/>
    </row>
    <row r="22" spans="1:14" x14ac:dyDescent="0.2">
      <c r="A22">
        <v>24</v>
      </c>
      <c r="B22" s="3">
        <v>2.9850000000000003</v>
      </c>
      <c r="C22" s="2">
        <v>1.0027E-3</v>
      </c>
      <c r="D22" s="3">
        <v>45.883000000000003</v>
      </c>
      <c r="E22" s="5">
        <v>100.7</v>
      </c>
      <c r="F22" s="11">
        <v>2408.4</v>
      </c>
      <c r="G22" s="5">
        <v>100.7</v>
      </c>
      <c r="H22" s="11">
        <v>2444.6999999999998</v>
      </c>
      <c r="I22" s="11">
        <v>2545.4</v>
      </c>
      <c r="J22" s="8">
        <v>0.35339999999999999</v>
      </c>
      <c r="K22" s="8">
        <v>8.5793999999999997</v>
      </c>
      <c r="L22">
        <v>24</v>
      </c>
      <c r="N22" s="2"/>
    </row>
    <row r="23" spans="1:14" x14ac:dyDescent="0.2">
      <c r="A23">
        <v>25</v>
      </c>
      <c r="B23" s="3">
        <v>3.1690000000000005</v>
      </c>
      <c r="C23" s="2">
        <v>1.0028999999999999E-3</v>
      </c>
      <c r="D23" s="3">
        <v>43.36</v>
      </c>
      <c r="E23" s="5">
        <v>104.88</v>
      </c>
      <c r="F23" s="11">
        <v>2409.8000000000002</v>
      </c>
      <c r="G23" s="5">
        <v>104.89</v>
      </c>
      <c r="H23" s="11">
        <v>2442.3000000000002</v>
      </c>
      <c r="I23" s="11">
        <v>2547.1999999999998</v>
      </c>
      <c r="J23" s="8">
        <v>0.3674</v>
      </c>
      <c r="K23" s="8">
        <v>8.5579999999999998</v>
      </c>
      <c r="L23">
        <v>25</v>
      </c>
      <c r="N23" s="2"/>
    </row>
    <row r="24" spans="1:14" x14ac:dyDescent="0.2">
      <c r="A24">
        <v>26</v>
      </c>
      <c r="B24" s="3">
        <v>3.363</v>
      </c>
      <c r="C24" s="2">
        <v>1.0032000000000001E-3</v>
      </c>
      <c r="D24" s="3">
        <v>40.994</v>
      </c>
      <c r="E24" s="5">
        <v>109.06</v>
      </c>
      <c r="F24" s="11">
        <v>2411.1</v>
      </c>
      <c r="G24" s="5">
        <v>109.07</v>
      </c>
      <c r="H24" s="11">
        <v>2439.9</v>
      </c>
      <c r="I24" s="11">
        <v>2549</v>
      </c>
      <c r="J24" s="8">
        <v>0.38140000000000002</v>
      </c>
      <c r="K24" s="8">
        <v>8.5366999999999997</v>
      </c>
      <c r="L24">
        <v>26</v>
      </c>
      <c r="N24" s="2"/>
    </row>
    <row r="25" spans="1:14" x14ac:dyDescent="0.2">
      <c r="A25">
        <v>27</v>
      </c>
      <c r="B25" s="3">
        <v>3.5670000000000002</v>
      </c>
      <c r="C25" s="2">
        <v>1.0035000000000001E-3</v>
      </c>
      <c r="D25" s="3">
        <v>38.774000000000001</v>
      </c>
      <c r="E25" s="5">
        <v>113.25</v>
      </c>
      <c r="F25" s="11">
        <v>2412.5</v>
      </c>
      <c r="G25" s="5">
        <v>113.25</v>
      </c>
      <c r="H25" s="11">
        <v>2437.6</v>
      </c>
      <c r="I25" s="11">
        <v>2550.8000000000002</v>
      </c>
      <c r="J25" s="8">
        <v>0.39539999999999997</v>
      </c>
      <c r="K25" s="8">
        <v>8.5155999999999992</v>
      </c>
      <c r="L25">
        <v>27</v>
      </c>
      <c r="N25" s="2"/>
    </row>
    <row r="26" spans="1:14" x14ac:dyDescent="0.2">
      <c r="A26">
        <v>28</v>
      </c>
      <c r="B26" s="3">
        <v>3.782</v>
      </c>
      <c r="C26" s="2">
        <v>1.0036999999999999E-3</v>
      </c>
      <c r="D26" s="3">
        <v>36.69</v>
      </c>
      <c r="E26" s="5">
        <v>117.42</v>
      </c>
      <c r="F26" s="11">
        <v>2413.9</v>
      </c>
      <c r="G26" s="5">
        <v>117.43</v>
      </c>
      <c r="H26" s="11">
        <v>2435.1999999999998</v>
      </c>
      <c r="I26" s="11">
        <v>2552.6</v>
      </c>
      <c r="J26" s="8">
        <v>0.4093</v>
      </c>
      <c r="K26" s="8">
        <v>8.4946000000000002</v>
      </c>
      <c r="L26">
        <v>28</v>
      </c>
      <c r="N26" s="2"/>
    </row>
    <row r="27" spans="1:14" x14ac:dyDescent="0.2">
      <c r="A27">
        <v>29</v>
      </c>
      <c r="B27" s="3">
        <v>4.008</v>
      </c>
      <c r="C27" s="2">
        <v>1.0039999999999999E-3</v>
      </c>
      <c r="D27" s="3">
        <v>34.732999999999997</v>
      </c>
      <c r="E27" s="5">
        <v>121.6</v>
      </c>
      <c r="F27" s="11">
        <v>2415.1999999999998</v>
      </c>
      <c r="G27" s="5">
        <v>121.61</v>
      </c>
      <c r="H27" s="11">
        <v>2432.8000000000002</v>
      </c>
      <c r="I27" s="11">
        <v>2554.5</v>
      </c>
      <c r="J27" s="8">
        <v>0.42309999999999998</v>
      </c>
      <c r="K27" s="8">
        <v>8.4739000000000004</v>
      </c>
      <c r="L27">
        <v>29</v>
      </c>
      <c r="N27" s="2"/>
    </row>
    <row r="28" spans="1:14" x14ac:dyDescent="0.2">
      <c r="A28">
        <v>30</v>
      </c>
      <c r="B28" s="3">
        <v>4.2459999999999996</v>
      </c>
      <c r="C28" s="2">
        <v>1.0043000000000001E-3</v>
      </c>
      <c r="D28" s="3">
        <v>32.893999999999998</v>
      </c>
      <c r="E28" s="5">
        <v>125.78</v>
      </c>
      <c r="F28" s="11">
        <v>2416.6</v>
      </c>
      <c r="G28" s="5">
        <v>125.79</v>
      </c>
      <c r="H28" s="11">
        <v>2430.5</v>
      </c>
      <c r="I28" s="11">
        <v>2556.3000000000002</v>
      </c>
      <c r="J28" s="8">
        <v>0.43690000000000001</v>
      </c>
      <c r="K28" s="8">
        <v>8.4533000000000005</v>
      </c>
      <c r="L28">
        <v>30</v>
      </c>
      <c r="N28" s="2"/>
    </row>
    <row r="29" spans="1:14" x14ac:dyDescent="0.2">
      <c r="A29">
        <v>31</v>
      </c>
      <c r="B29" s="3">
        <v>4.4960000000000004</v>
      </c>
      <c r="C29" s="2">
        <v>1.0046E-3</v>
      </c>
      <c r="D29" s="3">
        <v>31.164999999999999</v>
      </c>
      <c r="E29" s="5">
        <v>129.96</v>
      </c>
      <c r="F29" s="11">
        <v>2418</v>
      </c>
      <c r="G29" s="5">
        <v>129.97</v>
      </c>
      <c r="H29" s="11">
        <v>2428.1</v>
      </c>
      <c r="I29" s="11">
        <v>2558.1</v>
      </c>
      <c r="J29" s="8">
        <v>0.45069999999999999</v>
      </c>
      <c r="K29" s="8">
        <v>8.4329000000000001</v>
      </c>
      <c r="L29">
        <v>31</v>
      </c>
      <c r="N29" s="2"/>
    </row>
    <row r="30" spans="1:14" x14ac:dyDescent="0.2">
      <c r="A30">
        <v>32</v>
      </c>
      <c r="B30" s="3">
        <v>4.7590000000000003</v>
      </c>
      <c r="C30" s="2">
        <v>1.0049999999999998E-3</v>
      </c>
      <c r="D30" s="3">
        <v>29.54</v>
      </c>
      <c r="E30" s="5">
        <v>134.13999999999999</v>
      </c>
      <c r="F30" s="11">
        <v>2419.3000000000002</v>
      </c>
      <c r="G30" s="5">
        <v>134.15</v>
      </c>
      <c r="H30" s="11">
        <v>2425.6999999999998</v>
      </c>
      <c r="I30" s="11">
        <v>2559.9</v>
      </c>
      <c r="J30" s="8">
        <v>0.46439999999999998</v>
      </c>
      <c r="K30" s="8">
        <v>8.4126999999999992</v>
      </c>
      <c r="L30">
        <v>32</v>
      </c>
      <c r="N30" s="2"/>
    </row>
    <row r="31" spans="1:14" x14ac:dyDescent="0.2">
      <c r="A31">
        <v>33</v>
      </c>
      <c r="B31" s="3">
        <v>5.0340000000000007</v>
      </c>
      <c r="C31" s="2">
        <v>1.0053E-3</v>
      </c>
      <c r="D31" s="3">
        <v>28.010999999999999</v>
      </c>
      <c r="E31" s="5">
        <v>138.32</v>
      </c>
      <c r="F31" s="11">
        <v>2420.6999999999998</v>
      </c>
      <c r="G31" s="5">
        <v>138.33000000000001</v>
      </c>
      <c r="H31" s="11">
        <v>2423.4</v>
      </c>
      <c r="I31" s="11">
        <v>2561.6999999999998</v>
      </c>
      <c r="J31" s="8">
        <v>0.47810000000000002</v>
      </c>
      <c r="K31" s="8">
        <v>8.3926999999999996</v>
      </c>
      <c r="L31">
        <v>33</v>
      </c>
      <c r="N31" s="2"/>
    </row>
    <row r="32" spans="1:14" x14ac:dyDescent="0.2">
      <c r="A32">
        <v>34</v>
      </c>
      <c r="B32" s="3">
        <v>5.3239999999999998</v>
      </c>
      <c r="C32" s="2">
        <v>1.0056000000000002E-3</v>
      </c>
      <c r="D32" s="3">
        <v>26.571000000000002</v>
      </c>
      <c r="E32" s="5">
        <v>142.5</v>
      </c>
      <c r="F32" s="11">
        <v>2422</v>
      </c>
      <c r="G32" s="5">
        <v>142.5</v>
      </c>
      <c r="H32" s="11">
        <v>2421</v>
      </c>
      <c r="I32" s="11">
        <v>2563.5</v>
      </c>
      <c r="J32" s="8">
        <v>0.49170000000000003</v>
      </c>
      <c r="K32" s="8">
        <v>8.3727999999999998</v>
      </c>
      <c r="L32">
        <v>34</v>
      </c>
      <c r="N32" s="2"/>
    </row>
    <row r="33" spans="1:14" x14ac:dyDescent="0.2">
      <c r="A33">
        <v>35</v>
      </c>
      <c r="B33" s="3">
        <v>5.6280000000000001</v>
      </c>
      <c r="C33" s="2">
        <v>1.0059999999999999E-3</v>
      </c>
      <c r="D33" s="3">
        <v>25.216000000000001</v>
      </c>
      <c r="E33" s="5">
        <v>146.66999999999999</v>
      </c>
      <c r="F33" s="11">
        <v>2423.4</v>
      </c>
      <c r="G33" s="5">
        <v>146.68</v>
      </c>
      <c r="H33" s="11">
        <v>2418.6</v>
      </c>
      <c r="I33" s="11">
        <v>2565.3000000000002</v>
      </c>
      <c r="J33" s="8">
        <v>0.50529999999999997</v>
      </c>
      <c r="K33" s="8">
        <v>8.3530999999999995</v>
      </c>
      <c r="L33">
        <v>35</v>
      </c>
      <c r="N33" s="2"/>
    </row>
    <row r="34" spans="1:14" x14ac:dyDescent="0.2">
      <c r="A34">
        <v>36</v>
      </c>
      <c r="B34" s="3">
        <v>5.9470000000000001</v>
      </c>
      <c r="C34" s="2">
        <v>1.0062999999999999E-3</v>
      </c>
      <c r="D34" s="3">
        <v>23.94</v>
      </c>
      <c r="E34" s="5">
        <v>150.85</v>
      </c>
      <c r="F34" s="11">
        <v>2424.6999999999998</v>
      </c>
      <c r="G34" s="5">
        <v>150.86000000000001</v>
      </c>
      <c r="H34" s="11">
        <v>2416.1999999999998</v>
      </c>
      <c r="I34" s="11">
        <v>2567.1</v>
      </c>
      <c r="J34" s="8">
        <v>0.51880000000000004</v>
      </c>
      <c r="K34" s="8">
        <v>8.3336000000000006</v>
      </c>
      <c r="L34">
        <v>36</v>
      </c>
      <c r="N34" s="2"/>
    </row>
    <row r="35" spans="1:14" x14ac:dyDescent="0.2">
      <c r="A35">
        <v>38</v>
      </c>
      <c r="B35" s="3">
        <v>6.6320000000000006</v>
      </c>
      <c r="C35" s="2">
        <v>1.0071000000000001E-3</v>
      </c>
      <c r="D35" s="3">
        <v>21.602</v>
      </c>
      <c r="E35" s="5">
        <v>159.19999999999999</v>
      </c>
      <c r="F35" s="11">
        <v>2427.4</v>
      </c>
      <c r="G35" s="5">
        <v>159.21</v>
      </c>
      <c r="H35" s="11">
        <v>2411.5</v>
      </c>
      <c r="I35" s="11">
        <v>2570.6999999999998</v>
      </c>
      <c r="J35" s="8">
        <v>0.54579999999999995</v>
      </c>
      <c r="K35" s="8">
        <v>8.2949999999999999</v>
      </c>
      <c r="L35">
        <v>38</v>
      </c>
      <c r="N35" s="2"/>
    </row>
    <row r="36" spans="1:14" x14ac:dyDescent="0.2">
      <c r="A36">
        <v>40</v>
      </c>
      <c r="B36" s="3">
        <v>7.3840000000000003</v>
      </c>
      <c r="C36" s="2">
        <v>1.0078000000000001E-3</v>
      </c>
      <c r="D36" s="3">
        <v>19.523</v>
      </c>
      <c r="E36" s="5">
        <v>167.56</v>
      </c>
      <c r="F36" s="11">
        <v>2430.1</v>
      </c>
      <c r="G36" s="5">
        <v>167.57</v>
      </c>
      <c r="H36" s="11">
        <v>2406.6999999999998</v>
      </c>
      <c r="I36" s="11">
        <v>2574.3000000000002</v>
      </c>
      <c r="J36" s="8">
        <v>0.57250000000000001</v>
      </c>
      <c r="K36" s="8">
        <v>8.2569999999999997</v>
      </c>
      <c r="L36">
        <v>40</v>
      </c>
      <c r="N36" s="2"/>
    </row>
    <row r="37" spans="1:14" x14ac:dyDescent="0.2">
      <c r="A37">
        <v>45</v>
      </c>
      <c r="B37" s="3">
        <v>9.593</v>
      </c>
      <c r="C37" s="2">
        <v>1.0099E-3</v>
      </c>
      <c r="D37" s="3">
        <v>15.257999999999999</v>
      </c>
      <c r="E37" s="5">
        <v>188.44</v>
      </c>
      <c r="F37" s="11">
        <v>2436.8000000000002</v>
      </c>
      <c r="G37" s="5">
        <v>188.45</v>
      </c>
      <c r="H37" s="11">
        <v>2394.8000000000002</v>
      </c>
      <c r="I37" s="11">
        <v>2583.1999999999998</v>
      </c>
      <c r="J37" s="8">
        <v>0.63870000000000005</v>
      </c>
      <c r="K37" s="8">
        <v>8.1647999999999996</v>
      </c>
      <c r="L37">
        <v>45</v>
      </c>
      <c r="N37" s="2"/>
    </row>
    <row r="38" spans="1:14" x14ac:dyDescent="0.2">
      <c r="A38">
        <v>50</v>
      </c>
      <c r="B38" s="3">
        <v>12.35</v>
      </c>
      <c r="C38" s="2">
        <v>1.0120999999999999E-3</v>
      </c>
      <c r="D38" s="3">
        <v>12.032</v>
      </c>
      <c r="E38" s="5">
        <v>209.32</v>
      </c>
      <c r="F38" s="11">
        <v>2443.5</v>
      </c>
      <c r="G38" s="5">
        <v>209.33</v>
      </c>
      <c r="H38" s="11">
        <v>2382.6999999999998</v>
      </c>
      <c r="I38" s="11">
        <v>2592.1</v>
      </c>
      <c r="J38" s="8">
        <v>0.70379999999999998</v>
      </c>
      <c r="K38" s="8">
        <v>8.0762999999999998</v>
      </c>
      <c r="L38">
        <v>50</v>
      </c>
      <c r="N38" s="2"/>
    </row>
    <row r="39" spans="1:14" x14ac:dyDescent="0.2">
      <c r="A39">
        <v>55</v>
      </c>
      <c r="B39" s="3">
        <v>15.76</v>
      </c>
      <c r="C39" s="2">
        <v>1.0146000000000001E-3</v>
      </c>
      <c r="D39" s="3">
        <v>9.5679999999999996</v>
      </c>
      <c r="E39" s="5">
        <v>230.21</v>
      </c>
      <c r="F39" s="11">
        <v>2450.1</v>
      </c>
      <c r="G39" s="5">
        <v>230.23</v>
      </c>
      <c r="H39" s="11">
        <v>2370.6999999999998</v>
      </c>
      <c r="I39" s="11">
        <v>2600.9</v>
      </c>
      <c r="J39" s="8">
        <v>0.76790000000000003</v>
      </c>
      <c r="K39" s="8">
        <v>7.9912999999999998</v>
      </c>
      <c r="L39">
        <v>55</v>
      </c>
      <c r="N39" s="2"/>
    </row>
    <row r="40" spans="1:14" x14ac:dyDescent="0.2">
      <c r="A40">
        <v>60</v>
      </c>
      <c r="B40" s="3">
        <v>19.939999999999998</v>
      </c>
      <c r="C40" s="2">
        <v>1.0172E-3</v>
      </c>
      <c r="D40" s="3">
        <v>7.6710000000000003</v>
      </c>
      <c r="E40" s="5">
        <v>251.11</v>
      </c>
      <c r="F40" s="11">
        <v>2456.6</v>
      </c>
      <c r="G40" s="5">
        <v>251.13</v>
      </c>
      <c r="H40" s="11">
        <v>2358.5</v>
      </c>
      <c r="I40" s="11">
        <v>2609.6</v>
      </c>
      <c r="J40" s="8">
        <v>0.83120000000000005</v>
      </c>
      <c r="K40" s="8">
        <v>7.9096000000000002</v>
      </c>
      <c r="L40">
        <v>60</v>
      </c>
      <c r="N40" s="2"/>
    </row>
    <row r="41" spans="1:14" x14ac:dyDescent="0.2">
      <c r="A41">
        <v>65</v>
      </c>
      <c r="B41" s="3">
        <v>25.03</v>
      </c>
      <c r="C41" s="2">
        <v>1.0199E-3</v>
      </c>
      <c r="D41" s="3">
        <v>6.1970000000000001</v>
      </c>
      <c r="E41" s="5">
        <v>272.02</v>
      </c>
      <c r="F41" s="11">
        <v>2463.1</v>
      </c>
      <c r="G41" s="5">
        <v>272.06</v>
      </c>
      <c r="H41" s="11">
        <v>2346.1999999999998</v>
      </c>
      <c r="I41" s="11">
        <v>2618.3000000000002</v>
      </c>
      <c r="J41" s="8">
        <v>0.89349999999999996</v>
      </c>
      <c r="K41" s="8">
        <v>7.8310000000000004</v>
      </c>
      <c r="L41">
        <v>65</v>
      </c>
      <c r="N41" s="2"/>
    </row>
    <row r="42" spans="1:14" x14ac:dyDescent="0.2">
      <c r="A42">
        <v>70</v>
      </c>
      <c r="B42" s="3">
        <v>31.19</v>
      </c>
      <c r="C42" s="2">
        <v>1.0227999999999999E-3</v>
      </c>
      <c r="D42" s="3">
        <v>5.0419999999999998</v>
      </c>
      <c r="E42" s="5">
        <v>292.95</v>
      </c>
      <c r="F42" s="11">
        <v>2469.6</v>
      </c>
      <c r="G42" s="5">
        <v>292.98</v>
      </c>
      <c r="H42" s="11">
        <v>2333.8000000000002</v>
      </c>
      <c r="I42" s="11">
        <v>2626.8</v>
      </c>
      <c r="J42" s="8">
        <v>0.95489999999999997</v>
      </c>
      <c r="K42" s="8">
        <v>7.7553000000000001</v>
      </c>
      <c r="L42">
        <v>70</v>
      </c>
      <c r="N42" s="2"/>
    </row>
    <row r="43" spans="1:14" x14ac:dyDescent="0.2">
      <c r="A43">
        <v>75</v>
      </c>
      <c r="B43" s="3">
        <v>38.58</v>
      </c>
      <c r="C43" s="2">
        <v>1.0258999999999999E-3</v>
      </c>
      <c r="D43" s="3">
        <v>4.1310000000000002</v>
      </c>
      <c r="E43" s="5">
        <v>313.89999999999998</v>
      </c>
      <c r="F43" s="11">
        <v>2475.9</v>
      </c>
      <c r="G43" s="5">
        <v>313.93</v>
      </c>
      <c r="H43" s="11">
        <v>2321.4</v>
      </c>
      <c r="I43" s="11">
        <v>2635.3</v>
      </c>
      <c r="J43" s="8">
        <v>1.0155000000000001</v>
      </c>
      <c r="K43" s="8">
        <v>7.6824000000000003</v>
      </c>
      <c r="L43">
        <v>75</v>
      </c>
      <c r="N43" s="2"/>
    </row>
    <row r="44" spans="1:14" x14ac:dyDescent="0.2">
      <c r="A44">
        <v>80</v>
      </c>
      <c r="B44" s="3">
        <v>47.39</v>
      </c>
      <c r="C44" s="2">
        <v>1.0290999999999998E-3</v>
      </c>
      <c r="D44" s="3">
        <v>3.407</v>
      </c>
      <c r="E44" s="5">
        <v>334.86</v>
      </c>
      <c r="F44" s="11">
        <v>2482.1999999999998</v>
      </c>
      <c r="G44" s="5">
        <v>334.91</v>
      </c>
      <c r="H44" s="11">
        <v>2308.8000000000002</v>
      </c>
      <c r="I44" s="11">
        <v>2643.7</v>
      </c>
      <c r="J44" s="8">
        <v>1.0752999999999999</v>
      </c>
      <c r="K44" s="8">
        <v>7.6121999999999996</v>
      </c>
      <c r="L44">
        <v>80</v>
      </c>
      <c r="N44" s="2"/>
    </row>
    <row r="45" spans="1:14" x14ac:dyDescent="0.2">
      <c r="A45">
        <v>85</v>
      </c>
      <c r="B45" s="3">
        <v>57.830000000000005</v>
      </c>
      <c r="C45" s="2">
        <v>1.0325E-3</v>
      </c>
      <c r="D45" s="3">
        <v>2.8279999999999998</v>
      </c>
      <c r="E45" s="5">
        <v>355.84</v>
      </c>
      <c r="F45" s="11">
        <v>2488.4</v>
      </c>
      <c r="G45" s="5">
        <v>355.9</v>
      </c>
      <c r="H45" s="11">
        <v>2296</v>
      </c>
      <c r="I45" s="11">
        <v>2651.9</v>
      </c>
      <c r="J45" s="8">
        <v>1.1343000000000001</v>
      </c>
      <c r="K45" s="8">
        <v>7.5445000000000002</v>
      </c>
      <c r="L45">
        <v>85</v>
      </c>
      <c r="N45" s="2"/>
    </row>
    <row r="46" spans="1:14" x14ac:dyDescent="0.2">
      <c r="A46">
        <v>90</v>
      </c>
      <c r="B46" s="3">
        <v>70.14</v>
      </c>
      <c r="C46" s="2">
        <v>1.036E-3</v>
      </c>
      <c r="D46" s="3">
        <v>2.3610000000000002</v>
      </c>
      <c r="E46" s="5">
        <v>376.85</v>
      </c>
      <c r="F46" s="11">
        <v>2494.5</v>
      </c>
      <c r="G46" s="5">
        <v>376.92</v>
      </c>
      <c r="H46" s="11">
        <v>2283.1999999999998</v>
      </c>
      <c r="I46" s="11">
        <v>2660.1</v>
      </c>
      <c r="J46" s="8">
        <v>1.1924999999999999</v>
      </c>
      <c r="K46" s="8">
        <v>7.4790999999999999</v>
      </c>
      <c r="L46">
        <v>90</v>
      </c>
      <c r="N46" s="2"/>
    </row>
    <row r="47" spans="1:14" x14ac:dyDescent="0.2">
      <c r="A47">
        <v>95</v>
      </c>
      <c r="B47" s="3">
        <v>84.55</v>
      </c>
      <c r="C47" s="2">
        <v>1.0397000000000002E-3</v>
      </c>
      <c r="D47" s="3">
        <v>1.982</v>
      </c>
      <c r="E47" s="5">
        <v>397.88</v>
      </c>
      <c r="F47" s="11">
        <v>2500.6</v>
      </c>
      <c r="G47" s="5">
        <v>397.96</v>
      </c>
      <c r="H47" s="11">
        <v>2270.1999999999998</v>
      </c>
      <c r="I47" s="11">
        <v>2668.1</v>
      </c>
      <c r="J47" s="8">
        <v>1.25</v>
      </c>
      <c r="K47" s="8">
        <v>7.4158999999999997</v>
      </c>
      <c r="L47">
        <v>95</v>
      </c>
      <c r="N47" s="2"/>
    </row>
    <row r="48" spans="1:14" x14ac:dyDescent="0.2">
      <c r="A48">
        <v>100</v>
      </c>
      <c r="B48" s="3">
        <v>101.4</v>
      </c>
      <c r="C48" s="2">
        <v>1.0435000000000002E-3</v>
      </c>
      <c r="D48" s="3">
        <v>1.673</v>
      </c>
      <c r="E48" s="5">
        <v>418.94</v>
      </c>
      <c r="F48" s="11">
        <v>2506.5</v>
      </c>
      <c r="G48" s="5">
        <v>419.04</v>
      </c>
      <c r="H48" s="11">
        <v>2257</v>
      </c>
      <c r="I48" s="11">
        <v>2676.1</v>
      </c>
      <c r="J48" s="8">
        <v>1.3069</v>
      </c>
      <c r="K48" s="8">
        <v>7.3548999999999998</v>
      </c>
      <c r="L48">
        <v>100</v>
      </c>
      <c r="N48" s="2"/>
    </row>
    <row r="49" spans="1:14" x14ac:dyDescent="0.2">
      <c r="A49">
        <v>110</v>
      </c>
      <c r="B49" s="3">
        <v>143.30000000000001</v>
      </c>
      <c r="C49" s="2">
        <v>1.0516000000000002E-3</v>
      </c>
      <c r="D49" s="3">
        <v>1.21</v>
      </c>
      <c r="E49" s="5">
        <v>461.14</v>
      </c>
      <c r="F49" s="11">
        <v>2518.1</v>
      </c>
      <c r="G49" s="5">
        <v>461.3</v>
      </c>
      <c r="H49" s="11">
        <v>2230.1999999999998</v>
      </c>
      <c r="I49" s="11">
        <v>2691.5</v>
      </c>
      <c r="J49" s="8">
        <v>1.4185000000000001</v>
      </c>
      <c r="K49" s="8">
        <v>7.2386999999999997</v>
      </c>
      <c r="L49">
        <v>110</v>
      </c>
      <c r="N49" s="2"/>
    </row>
    <row r="50" spans="1:14" x14ac:dyDescent="0.2">
      <c r="A50">
        <v>120</v>
      </c>
      <c r="B50" s="3">
        <v>198.5</v>
      </c>
      <c r="C50" s="2">
        <v>1.0602999999999999E-3</v>
      </c>
      <c r="D50" s="3">
        <v>0.89190000000000003</v>
      </c>
      <c r="E50" s="5">
        <v>503.5</v>
      </c>
      <c r="F50" s="11">
        <v>2529.3000000000002</v>
      </c>
      <c r="G50" s="5">
        <v>503.71</v>
      </c>
      <c r="H50" s="11">
        <v>2202.6</v>
      </c>
      <c r="I50" s="11">
        <v>2706.3</v>
      </c>
      <c r="J50" s="8">
        <v>1.5276000000000001</v>
      </c>
      <c r="K50" s="8">
        <v>7.1295999999999999</v>
      </c>
      <c r="L50">
        <v>120</v>
      </c>
      <c r="N50" s="2"/>
    </row>
    <row r="51" spans="1:14" x14ac:dyDescent="0.2">
      <c r="A51">
        <v>130</v>
      </c>
      <c r="B51" s="3">
        <v>270.10000000000002</v>
      </c>
      <c r="C51" s="2">
        <v>1.0697E-3</v>
      </c>
      <c r="D51" s="3">
        <v>0.66849999999999998</v>
      </c>
      <c r="E51" s="5">
        <v>546.02</v>
      </c>
      <c r="F51" s="11">
        <v>2539.9</v>
      </c>
      <c r="G51" s="5">
        <v>546.30999999999995</v>
      </c>
      <c r="H51" s="11">
        <v>2174.1999999999998</v>
      </c>
      <c r="I51" s="11">
        <v>2720.5</v>
      </c>
      <c r="J51" s="8">
        <v>1.6344000000000001</v>
      </c>
      <c r="K51" s="8">
        <v>7.0269000000000004</v>
      </c>
      <c r="L51">
        <v>130</v>
      </c>
      <c r="N51" s="2"/>
    </row>
    <row r="52" spans="1:14" x14ac:dyDescent="0.2">
      <c r="A52">
        <v>140</v>
      </c>
      <c r="B52" s="3">
        <v>361.3</v>
      </c>
      <c r="C52" s="2">
        <v>1.0797000000000001E-3</v>
      </c>
      <c r="D52" s="3">
        <v>0.50890000000000002</v>
      </c>
      <c r="E52" s="5">
        <v>588.74</v>
      </c>
      <c r="F52" s="11">
        <v>2550</v>
      </c>
      <c r="G52" s="5">
        <v>589.13</v>
      </c>
      <c r="H52" s="11">
        <v>2144.6999999999998</v>
      </c>
      <c r="I52" s="11">
        <v>2733.9</v>
      </c>
      <c r="J52" s="8">
        <v>1.7391000000000001</v>
      </c>
      <c r="K52" s="8">
        <v>6.9298999999999999</v>
      </c>
      <c r="L52">
        <v>140</v>
      </c>
      <c r="N52" s="2"/>
    </row>
    <row r="53" spans="1:14" x14ac:dyDescent="0.2">
      <c r="A53">
        <v>150</v>
      </c>
      <c r="B53" s="3">
        <v>475.8</v>
      </c>
      <c r="C53" s="2">
        <v>1.0905000000000001E-3</v>
      </c>
      <c r="D53" s="3">
        <v>0.39279999999999998</v>
      </c>
      <c r="E53" s="5">
        <v>631.67999999999995</v>
      </c>
      <c r="F53" s="11">
        <v>2559.5</v>
      </c>
      <c r="G53" s="5">
        <v>632.20000000000005</v>
      </c>
      <c r="H53" s="11">
        <v>2114.3000000000002</v>
      </c>
      <c r="I53" s="11">
        <v>2746.5</v>
      </c>
      <c r="J53" s="8">
        <v>1.8418000000000001</v>
      </c>
      <c r="K53" s="8">
        <v>6.8379000000000003</v>
      </c>
      <c r="L53">
        <v>150</v>
      </c>
      <c r="N53" s="2"/>
    </row>
    <row r="54" spans="1:14" x14ac:dyDescent="0.2">
      <c r="A54">
        <v>160</v>
      </c>
      <c r="B54" s="3">
        <v>617.79999999999995</v>
      </c>
      <c r="C54" s="2">
        <v>1.1020000000000001E-3</v>
      </c>
      <c r="D54" s="3">
        <v>0.30709999999999998</v>
      </c>
      <c r="E54" s="5">
        <v>674.86</v>
      </c>
      <c r="F54" s="11">
        <v>2568.4</v>
      </c>
      <c r="G54" s="5">
        <v>675.55</v>
      </c>
      <c r="H54" s="11">
        <v>2082.6</v>
      </c>
      <c r="I54" s="11">
        <v>2758.1</v>
      </c>
      <c r="J54" s="8">
        <v>1.9427000000000001</v>
      </c>
      <c r="K54" s="8">
        <v>6.7502000000000004</v>
      </c>
      <c r="L54">
        <v>160</v>
      </c>
      <c r="N54" s="2"/>
    </row>
    <row r="55" spans="1:14" x14ac:dyDescent="0.2">
      <c r="A55">
        <v>170</v>
      </c>
      <c r="B55" s="3">
        <v>791.69999999999993</v>
      </c>
      <c r="C55" s="2">
        <v>1.1143000000000001E-3</v>
      </c>
      <c r="D55" s="3">
        <v>0.24279999999999999</v>
      </c>
      <c r="E55" s="5">
        <v>718.33</v>
      </c>
      <c r="F55" s="11">
        <v>2576.5</v>
      </c>
      <c r="G55" s="5">
        <v>719.21</v>
      </c>
      <c r="H55" s="11">
        <v>2049.5</v>
      </c>
      <c r="I55" s="11">
        <v>2768.7</v>
      </c>
      <c r="J55" s="8">
        <v>2.0419</v>
      </c>
      <c r="K55" s="8">
        <v>6.6662999999999997</v>
      </c>
      <c r="L55">
        <v>170</v>
      </c>
      <c r="N55" s="2"/>
    </row>
    <row r="56" spans="1:14" x14ac:dyDescent="0.2">
      <c r="A56">
        <v>180</v>
      </c>
      <c r="B56" s="3">
        <v>1002</v>
      </c>
      <c r="C56" s="2">
        <v>1.1274E-3</v>
      </c>
      <c r="D56" s="3">
        <v>0.19409999999999999</v>
      </c>
      <c r="E56" s="5">
        <v>762.09</v>
      </c>
      <c r="F56" s="11">
        <v>2583.6999999999998</v>
      </c>
      <c r="G56" s="5">
        <v>763.22</v>
      </c>
      <c r="H56" s="11">
        <v>2015</v>
      </c>
      <c r="I56" s="11">
        <v>2778.2</v>
      </c>
      <c r="J56" s="8">
        <v>2.1396000000000002</v>
      </c>
      <c r="K56" s="8">
        <v>6.5857000000000001</v>
      </c>
      <c r="L56">
        <v>180</v>
      </c>
      <c r="N56" s="2"/>
    </row>
    <row r="57" spans="1:14" x14ac:dyDescent="0.2">
      <c r="A57">
        <v>190</v>
      </c>
      <c r="B57" s="3">
        <v>1254</v>
      </c>
      <c r="C57" s="2">
        <v>1.1413999999999999E-3</v>
      </c>
      <c r="D57" s="3">
        <v>0.1565</v>
      </c>
      <c r="E57" s="5">
        <v>806.19</v>
      </c>
      <c r="F57" s="11">
        <v>2590</v>
      </c>
      <c r="G57" s="5">
        <v>807.62</v>
      </c>
      <c r="H57" s="11">
        <v>1978.8</v>
      </c>
      <c r="I57" s="11">
        <v>2786.4</v>
      </c>
      <c r="J57" s="8">
        <v>2.2359</v>
      </c>
      <c r="K57" s="8">
        <v>6.5079000000000002</v>
      </c>
      <c r="L57">
        <v>190</v>
      </c>
      <c r="N57" s="2"/>
    </row>
    <row r="58" spans="1:14" x14ac:dyDescent="0.2">
      <c r="A58">
        <v>200</v>
      </c>
      <c r="B58" s="3">
        <v>1554</v>
      </c>
      <c r="C58" s="2">
        <v>1.1565E-3</v>
      </c>
      <c r="D58" s="3">
        <v>0.12740000000000001</v>
      </c>
      <c r="E58" s="5">
        <v>850.65</v>
      </c>
      <c r="F58" s="11">
        <v>2595.3000000000002</v>
      </c>
      <c r="G58" s="5">
        <v>852.45</v>
      </c>
      <c r="H58" s="11">
        <v>1940.7</v>
      </c>
      <c r="I58" s="11">
        <v>2793.2</v>
      </c>
      <c r="J58" s="8">
        <v>2.3309000000000002</v>
      </c>
      <c r="K58" s="8">
        <v>6.4322999999999997</v>
      </c>
      <c r="L58">
        <v>200</v>
      </c>
      <c r="N58" s="2"/>
    </row>
    <row r="59" spans="1:14" x14ac:dyDescent="0.2">
      <c r="A59">
        <v>210</v>
      </c>
      <c r="B59" s="3">
        <v>1905.9999999999998</v>
      </c>
      <c r="C59" s="2">
        <v>1.1726E-3</v>
      </c>
      <c r="D59" s="3">
        <v>0.10440000000000001</v>
      </c>
      <c r="E59" s="5">
        <v>895.53</v>
      </c>
      <c r="F59" s="11">
        <v>2599.5</v>
      </c>
      <c r="G59" s="5">
        <v>897.76</v>
      </c>
      <c r="H59" s="11">
        <v>1900.7</v>
      </c>
      <c r="I59" s="11">
        <v>2798.5</v>
      </c>
      <c r="J59" s="8">
        <v>2.4247999999999998</v>
      </c>
      <c r="K59" s="8">
        <v>6.3585000000000003</v>
      </c>
      <c r="L59">
        <v>210</v>
      </c>
      <c r="N59" s="2"/>
    </row>
    <row r="60" spans="1:14" x14ac:dyDescent="0.2">
      <c r="A60">
        <v>220</v>
      </c>
      <c r="B60" s="3">
        <v>2318</v>
      </c>
      <c r="C60" s="2">
        <v>1.1899999999999999E-3</v>
      </c>
      <c r="D60" s="3">
        <v>8.6190000000000003E-2</v>
      </c>
      <c r="E60" s="5">
        <v>940.87</v>
      </c>
      <c r="F60" s="11">
        <v>2602.4</v>
      </c>
      <c r="G60" s="5">
        <v>943.62</v>
      </c>
      <c r="H60" s="11">
        <v>1858.5</v>
      </c>
      <c r="I60" s="11">
        <v>2802.1</v>
      </c>
      <c r="J60" s="8">
        <v>2.5177999999999998</v>
      </c>
      <c r="K60" s="8">
        <v>6.2861000000000002</v>
      </c>
      <c r="L60">
        <v>220</v>
      </c>
      <c r="N60" s="2"/>
    </row>
    <row r="61" spans="1:14" x14ac:dyDescent="0.2">
      <c r="A61">
        <v>230</v>
      </c>
      <c r="B61" s="3">
        <v>2795</v>
      </c>
      <c r="C61" s="2">
        <v>1.2088000000000001E-3</v>
      </c>
      <c r="D61" s="3">
        <v>7.1580000000000005E-2</v>
      </c>
      <c r="E61" s="5">
        <v>986.74</v>
      </c>
      <c r="F61" s="11">
        <v>2603.9</v>
      </c>
      <c r="G61" s="5">
        <v>990.12</v>
      </c>
      <c r="H61" s="11">
        <v>1813.8</v>
      </c>
      <c r="I61" s="11">
        <v>2804</v>
      </c>
      <c r="J61" s="8">
        <v>2.6099000000000001</v>
      </c>
      <c r="K61" s="8">
        <v>6.2145999999999999</v>
      </c>
      <c r="L61">
        <v>230</v>
      </c>
      <c r="N61" s="2"/>
    </row>
    <row r="62" spans="1:14" x14ac:dyDescent="0.2">
      <c r="A62">
        <v>240</v>
      </c>
      <c r="B62" s="3">
        <v>3344</v>
      </c>
      <c r="C62" s="2">
        <v>1.2291000000000001E-3</v>
      </c>
      <c r="D62" s="3">
        <v>5.9760000000000001E-2</v>
      </c>
      <c r="E62" s="5">
        <v>1033.2</v>
      </c>
      <c r="F62" s="11">
        <v>2604</v>
      </c>
      <c r="G62" s="5">
        <v>1037.3</v>
      </c>
      <c r="H62" s="11">
        <v>1766.5</v>
      </c>
      <c r="I62" s="11">
        <v>2803.8</v>
      </c>
      <c r="J62" s="8">
        <v>2.7014999999999998</v>
      </c>
      <c r="K62" s="8">
        <v>6.1436999999999999</v>
      </c>
      <c r="L62">
        <v>240</v>
      </c>
      <c r="N62" s="2"/>
    </row>
    <row r="63" spans="1:14" x14ac:dyDescent="0.2">
      <c r="A63">
        <v>250</v>
      </c>
      <c r="B63" s="3">
        <v>3972.9999999999995</v>
      </c>
      <c r="C63" s="2">
        <v>1.2512000000000001E-3</v>
      </c>
      <c r="D63" s="3">
        <v>5.0130000000000001E-2</v>
      </c>
      <c r="E63" s="5">
        <v>1080.4000000000001</v>
      </c>
      <c r="F63" s="11">
        <v>2602.4</v>
      </c>
      <c r="G63" s="5">
        <v>1085.4000000000001</v>
      </c>
      <c r="H63" s="11">
        <v>1716.2</v>
      </c>
      <c r="I63" s="11">
        <v>2801.5</v>
      </c>
      <c r="J63" s="8">
        <v>2.7927</v>
      </c>
      <c r="K63" s="8">
        <v>6.0730000000000004</v>
      </c>
      <c r="L63">
        <v>250</v>
      </c>
      <c r="N63" s="2"/>
    </row>
    <row r="64" spans="1:14" x14ac:dyDescent="0.2">
      <c r="A64">
        <v>260</v>
      </c>
      <c r="B64" s="3">
        <v>4688</v>
      </c>
      <c r="C64" s="2">
        <v>1.2755000000000002E-3</v>
      </c>
      <c r="D64" s="3">
        <v>4.2209999999999998E-2</v>
      </c>
      <c r="E64" s="5">
        <v>1128.4000000000001</v>
      </c>
      <c r="F64" s="11">
        <v>2599</v>
      </c>
      <c r="G64" s="5">
        <v>1134.4000000000001</v>
      </c>
      <c r="H64" s="11">
        <v>1662.5</v>
      </c>
      <c r="I64" s="11">
        <v>2796.6</v>
      </c>
      <c r="J64" s="8">
        <v>2.8837999999999999</v>
      </c>
      <c r="K64" s="8">
        <v>6.0019</v>
      </c>
      <c r="L64">
        <v>260</v>
      </c>
      <c r="N64" s="2"/>
    </row>
    <row r="65" spans="1:14" x14ac:dyDescent="0.2">
      <c r="A65">
        <v>270</v>
      </c>
      <c r="B65" s="3">
        <v>5499</v>
      </c>
      <c r="C65" s="2">
        <v>1.3022999999999999E-3</v>
      </c>
      <c r="D65" s="3">
        <v>3.5639999999999998E-2</v>
      </c>
      <c r="E65" s="5">
        <v>1177.4000000000001</v>
      </c>
      <c r="F65" s="11">
        <v>2593.6999999999998</v>
      </c>
      <c r="G65" s="5">
        <v>1184.5</v>
      </c>
      <c r="H65" s="11">
        <v>1605.2</v>
      </c>
      <c r="I65" s="11">
        <v>2789.7</v>
      </c>
      <c r="J65" s="8">
        <v>2.9750999999999999</v>
      </c>
      <c r="K65" s="8">
        <v>5.9301000000000004</v>
      </c>
      <c r="L65">
        <v>270</v>
      </c>
      <c r="N65" s="2"/>
    </row>
    <row r="66" spans="1:14" x14ac:dyDescent="0.2">
      <c r="A66">
        <v>280</v>
      </c>
      <c r="B66" s="3">
        <v>6412</v>
      </c>
      <c r="C66" s="2">
        <v>1.3321000000000001E-3</v>
      </c>
      <c r="D66" s="3">
        <v>3.0169999999999999E-2</v>
      </c>
      <c r="E66" s="5">
        <v>1227.5</v>
      </c>
      <c r="F66" s="11">
        <v>2586.1</v>
      </c>
      <c r="G66" s="5">
        <v>1236</v>
      </c>
      <c r="H66" s="11">
        <v>1543.6</v>
      </c>
      <c r="I66" s="11">
        <v>2779.6</v>
      </c>
      <c r="J66" s="8">
        <v>3.0668000000000002</v>
      </c>
      <c r="K66" s="8">
        <v>5.8571</v>
      </c>
      <c r="L66">
        <v>280</v>
      </c>
      <c r="N66" s="2"/>
    </row>
    <row r="67" spans="1:14" x14ac:dyDescent="0.2">
      <c r="A67">
        <v>290</v>
      </c>
      <c r="B67" s="3">
        <v>7436</v>
      </c>
      <c r="C67" s="2">
        <v>1.3656E-3</v>
      </c>
      <c r="D67" s="3">
        <v>2.5569999999999999E-2</v>
      </c>
      <c r="E67" s="5">
        <v>1278.9000000000001</v>
      </c>
      <c r="F67" s="11">
        <v>2576</v>
      </c>
      <c r="G67" s="5">
        <v>1289.0999999999999</v>
      </c>
      <c r="H67" s="11">
        <v>1477.1</v>
      </c>
      <c r="I67" s="11">
        <v>2766.2</v>
      </c>
      <c r="J67" s="8">
        <v>3.1594000000000002</v>
      </c>
      <c r="K67" s="8">
        <v>5.7820999999999998</v>
      </c>
      <c r="L67">
        <v>290</v>
      </c>
      <c r="N67" s="2"/>
    </row>
    <row r="68" spans="1:14" x14ac:dyDescent="0.2">
      <c r="A68">
        <v>300</v>
      </c>
      <c r="B68" s="3">
        <v>8581</v>
      </c>
      <c r="C68" s="2">
        <v>1.4035999999999999E-3</v>
      </c>
      <c r="D68" s="3">
        <v>2.1669999999999998E-2</v>
      </c>
      <c r="E68" s="5">
        <v>1332</v>
      </c>
      <c r="F68" s="11">
        <v>2563</v>
      </c>
      <c r="G68" s="5">
        <v>1344</v>
      </c>
      <c r="H68" s="11">
        <v>1404.9</v>
      </c>
      <c r="I68" s="11">
        <v>2749</v>
      </c>
      <c r="J68" s="8">
        <v>3.2534000000000001</v>
      </c>
      <c r="K68" s="8">
        <v>5.7045000000000003</v>
      </c>
      <c r="L68">
        <v>300</v>
      </c>
      <c r="N68" s="2"/>
    </row>
    <row r="69" spans="1:14" x14ac:dyDescent="0.2">
      <c r="A69">
        <v>320</v>
      </c>
      <c r="B69" s="3">
        <v>11270</v>
      </c>
      <c r="C69" s="2">
        <v>1.4988E-3</v>
      </c>
      <c r="D69" s="3">
        <v>1.549E-2</v>
      </c>
      <c r="E69" s="5">
        <v>1444.6</v>
      </c>
      <c r="F69" s="11">
        <v>2525.5</v>
      </c>
      <c r="G69" s="5">
        <v>1461.5</v>
      </c>
      <c r="H69" s="11">
        <v>1238.5999999999999</v>
      </c>
      <c r="I69" s="11">
        <v>2700.1</v>
      </c>
      <c r="J69" s="8">
        <v>3.448</v>
      </c>
      <c r="K69" s="8">
        <v>5.5362</v>
      </c>
      <c r="L69">
        <v>320</v>
      </c>
      <c r="N69" s="2"/>
    </row>
    <row r="70" spans="1:14" x14ac:dyDescent="0.2">
      <c r="A70">
        <v>340</v>
      </c>
      <c r="B70" s="3">
        <v>14590</v>
      </c>
      <c r="C70" s="2">
        <v>1.6378999999999999E-3</v>
      </c>
      <c r="D70" s="3">
        <v>1.0800000000000001E-2</v>
      </c>
      <c r="E70" s="5">
        <v>1570.3</v>
      </c>
      <c r="F70" s="11">
        <v>2464.6</v>
      </c>
      <c r="G70" s="5">
        <v>1594.2</v>
      </c>
      <c r="H70" s="11">
        <v>1027.9000000000001</v>
      </c>
      <c r="I70" s="11">
        <v>2622</v>
      </c>
      <c r="J70" s="8">
        <v>3.6594000000000002</v>
      </c>
      <c r="K70" s="8">
        <v>5.3357000000000001</v>
      </c>
      <c r="L70">
        <v>340</v>
      </c>
      <c r="N70" s="2"/>
    </row>
    <row r="71" spans="1:14" x14ac:dyDescent="0.2">
      <c r="A71">
        <v>360</v>
      </c>
      <c r="B71" s="3">
        <v>18650</v>
      </c>
      <c r="C71" s="2">
        <v>1.8925000000000001E-3</v>
      </c>
      <c r="D71" s="3">
        <v>6.9449999999999998E-3</v>
      </c>
      <c r="E71" s="5">
        <v>1725.2</v>
      </c>
      <c r="F71" s="11">
        <v>2351.5</v>
      </c>
      <c r="G71" s="5">
        <v>1760.5</v>
      </c>
      <c r="H71" s="11">
        <v>720.5</v>
      </c>
      <c r="I71" s="11">
        <v>2481</v>
      </c>
      <c r="J71" s="8">
        <v>3.9146999999999998</v>
      </c>
      <c r="K71" s="8">
        <v>5.0526</v>
      </c>
      <c r="L71">
        <v>360</v>
      </c>
      <c r="N71" s="2"/>
    </row>
    <row r="72" spans="1:14" x14ac:dyDescent="0.2">
      <c r="A72">
        <v>374.14</v>
      </c>
      <c r="B72" s="3">
        <v>22090</v>
      </c>
      <c r="C72" s="2">
        <v>3.1549999999999998E-3</v>
      </c>
      <c r="D72" s="3">
        <v>3.1549999999999998E-3</v>
      </c>
      <c r="E72" s="5">
        <v>2029.6</v>
      </c>
      <c r="F72" s="11">
        <v>2029.6</v>
      </c>
      <c r="G72" s="5">
        <v>2099.3000000000002</v>
      </c>
      <c r="H72" s="11">
        <v>0</v>
      </c>
      <c r="I72" s="11">
        <v>2099.3000000000002</v>
      </c>
      <c r="J72" s="8">
        <v>4.4298000000000002</v>
      </c>
      <c r="K72" s="8">
        <v>4.4298000000000002</v>
      </c>
      <c r="L72">
        <v>374.14</v>
      </c>
      <c r="N7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pane ySplit="2" topLeftCell="A3" activePane="bottomLeft" state="frozen"/>
      <selection pane="bottomLeft"/>
    </sheetView>
  </sheetViews>
  <sheetFormatPr defaultRowHeight="11.25" x14ac:dyDescent="0.2"/>
  <cols>
    <col min="1" max="1" width="7.1640625" customWidth="1"/>
    <col min="2" max="2" width="8.1640625" style="5" customWidth="1"/>
    <col min="3" max="3" width="9.6640625" style="2" bestFit="1" customWidth="1"/>
    <col min="4" max="4" width="9.33203125" style="3"/>
    <col min="5" max="5" width="9.33203125" style="5"/>
    <col min="6" max="6" width="9.33203125" style="11"/>
    <col min="7" max="7" width="9.33203125" style="5"/>
    <col min="8" max="9" width="9.33203125" style="11"/>
    <col min="10" max="10" width="10.33203125" style="8" bestFit="1" customWidth="1"/>
    <col min="11" max="11" width="10.6640625" style="8" bestFit="1" customWidth="1"/>
    <col min="12" max="12" width="6.1640625" bestFit="1" customWidth="1"/>
  </cols>
  <sheetData>
    <row r="1" spans="1:12" ht="15.75" x14ac:dyDescent="0.25">
      <c r="A1" s="10" t="s">
        <v>12</v>
      </c>
    </row>
    <row r="2" spans="1:12" ht="22.5" x14ac:dyDescent="0.2">
      <c r="A2" s="9" t="s">
        <v>1</v>
      </c>
      <c r="B2" s="6" t="s">
        <v>0</v>
      </c>
      <c r="C2" s="13" t="s">
        <v>2</v>
      </c>
      <c r="D2" s="9" t="s">
        <v>3</v>
      </c>
      <c r="E2" s="4" t="s">
        <v>4</v>
      </c>
      <c r="F2" s="12" t="s">
        <v>5</v>
      </c>
      <c r="G2" s="6" t="s">
        <v>6</v>
      </c>
      <c r="H2" s="12" t="s">
        <v>7</v>
      </c>
      <c r="I2" s="12" t="s">
        <v>8</v>
      </c>
      <c r="J2" s="7" t="s">
        <v>9</v>
      </c>
      <c r="K2" s="7" t="s">
        <v>10</v>
      </c>
      <c r="L2" s="9" t="s">
        <v>1</v>
      </c>
    </row>
    <row r="3" spans="1:12" x14ac:dyDescent="0.2">
      <c r="A3">
        <v>4</v>
      </c>
      <c r="B3" s="5">
        <v>28.96</v>
      </c>
      <c r="C3" s="2">
        <v>1.0039999999999999E-3</v>
      </c>
      <c r="D3" s="3">
        <v>34.799999999999997</v>
      </c>
      <c r="E3" s="5">
        <v>121.45</v>
      </c>
      <c r="F3" s="11">
        <v>2415.1999999999998</v>
      </c>
      <c r="G3" s="5">
        <v>121.46</v>
      </c>
      <c r="H3" s="11">
        <v>2432.9</v>
      </c>
      <c r="I3" s="11">
        <v>2554.4</v>
      </c>
      <c r="J3" s="8">
        <v>0.42259999999999998</v>
      </c>
      <c r="K3" s="8">
        <v>8.4746000000000006</v>
      </c>
      <c r="L3">
        <v>4</v>
      </c>
    </row>
    <row r="4" spans="1:12" x14ac:dyDescent="0.2">
      <c r="A4">
        <v>6</v>
      </c>
      <c r="B4" s="5">
        <v>36.159999999999997</v>
      </c>
      <c r="C4" s="2">
        <v>1.0064E-3</v>
      </c>
      <c r="D4" s="3">
        <v>23.739000000000001</v>
      </c>
      <c r="E4" s="5">
        <v>151.53</v>
      </c>
      <c r="F4" s="11">
        <v>2425</v>
      </c>
      <c r="G4" s="5">
        <v>151.53</v>
      </c>
      <c r="H4" s="11">
        <v>2415.9</v>
      </c>
      <c r="I4" s="11">
        <v>2567.4</v>
      </c>
      <c r="J4" s="8">
        <v>0.52100000000000002</v>
      </c>
      <c r="K4" s="8">
        <v>8.3303999999999991</v>
      </c>
      <c r="L4">
        <v>6</v>
      </c>
    </row>
    <row r="5" spans="1:12" x14ac:dyDescent="0.2">
      <c r="A5">
        <v>8</v>
      </c>
      <c r="B5" s="5">
        <v>41.51</v>
      </c>
      <c r="C5" s="2">
        <v>1.0084E-3</v>
      </c>
      <c r="D5" s="3">
        <v>18.103000000000002</v>
      </c>
      <c r="E5" s="5">
        <v>173.87</v>
      </c>
      <c r="F5" s="11">
        <v>2432.1999999999998</v>
      </c>
      <c r="G5" s="5">
        <v>173.88</v>
      </c>
      <c r="H5" s="11">
        <v>2403.1</v>
      </c>
      <c r="I5" s="11">
        <v>2577</v>
      </c>
      <c r="J5" s="8">
        <v>0.59260000000000002</v>
      </c>
      <c r="K5" s="8">
        <v>8.2286999999999999</v>
      </c>
      <c r="L5">
        <v>8</v>
      </c>
    </row>
    <row r="6" spans="1:12" x14ac:dyDescent="0.2">
      <c r="A6">
        <v>10</v>
      </c>
      <c r="B6" s="5">
        <v>45.81</v>
      </c>
      <c r="C6" s="2">
        <v>1.0101999999999999E-3</v>
      </c>
      <c r="D6" s="3">
        <v>14.673999999999999</v>
      </c>
      <c r="E6" s="5">
        <v>191.82</v>
      </c>
      <c r="F6" s="11">
        <v>2437.9</v>
      </c>
      <c r="G6" s="5">
        <v>191.83</v>
      </c>
      <c r="H6" s="11">
        <v>2392.8000000000002</v>
      </c>
      <c r="I6" s="11">
        <v>2584.6999999999998</v>
      </c>
      <c r="J6" s="8">
        <v>0.64929999999999999</v>
      </c>
      <c r="K6" s="8">
        <v>8.1501999999999999</v>
      </c>
      <c r="L6">
        <v>10</v>
      </c>
    </row>
    <row r="7" spans="1:12" x14ac:dyDescent="0.2">
      <c r="A7">
        <v>20</v>
      </c>
      <c r="B7" s="5">
        <v>60.06</v>
      </c>
      <c r="C7" s="2">
        <v>1.0172E-3</v>
      </c>
      <c r="D7" s="3">
        <v>7.649</v>
      </c>
      <c r="E7" s="5">
        <v>251.38</v>
      </c>
      <c r="F7" s="11">
        <v>2456.6999999999998</v>
      </c>
      <c r="G7" s="5">
        <v>251.4</v>
      </c>
      <c r="H7" s="11">
        <v>2358.3000000000002</v>
      </c>
      <c r="I7" s="11">
        <v>2609.6999999999998</v>
      </c>
      <c r="J7" s="8">
        <v>0.83199999999999996</v>
      </c>
      <c r="K7" s="8">
        <v>7.9085000000000001</v>
      </c>
      <c r="L7">
        <v>20</v>
      </c>
    </row>
    <row r="8" spans="1:12" x14ac:dyDescent="0.2">
      <c r="A8">
        <v>30</v>
      </c>
      <c r="B8" s="5">
        <v>69.099999999999994</v>
      </c>
      <c r="C8" s="2">
        <v>1.0223000000000001E-3</v>
      </c>
      <c r="D8" s="3">
        <v>5.2290000000000001</v>
      </c>
      <c r="E8" s="5">
        <v>289.2</v>
      </c>
      <c r="F8" s="11">
        <v>2468.4</v>
      </c>
      <c r="G8" s="5">
        <v>289.23</v>
      </c>
      <c r="H8" s="11">
        <v>2336.1</v>
      </c>
      <c r="I8" s="11">
        <v>2625.3</v>
      </c>
      <c r="J8" s="8">
        <v>0.94389999999999996</v>
      </c>
      <c r="K8" s="8">
        <v>7.7686000000000002</v>
      </c>
      <c r="L8">
        <v>30</v>
      </c>
    </row>
    <row r="9" spans="1:12" x14ac:dyDescent="0.2">
      <c r="A9">
        <v>40</v>
      </c>
      <c r="B9" s="5">
        <v>75.87</v>
      </c>
      <c r="C9" s="2">
        <v>1.0265000000000001E-3</v>
      </c>
      <c r="D9" s="3">
        <v>3.9929999999999999</v>
      </c>
      <c r="E9" s="5">
        <v>317.52999999999997</v>
      </c>
      <c r="F9" s="11">
        <v>2477</v>
      </c>
      <c r="G9" s="5">
        <v>317.58</v>
      </c>
      <c r="H9" s="11">
        <v>2319.1999999999998</v>
      </c>
      <c r="I9" s="11">
        <v>2636.8</v>
      </c>
      <c r="J9" s="8">
        <v>1.0259</v>
      </c>
      <c r="K9" s="8">
        <v>7.67</v>
      </c>
      <c r="L9">
        <v>40</v>
      </c>
    </row>
    <row r="10" spans="1:12" x14ac:dyDescent="0.2">
      <c r="A10">
        <v>50</v>
      </c>
      <c r="B10" s="5">
        <v>81.33</v>
      </c>
      <c r="C10" s="2">
        <v>1.0300000000000001E-3</v>
      </c>
      <c r="D10" s="3">
        <v>3.24</v>
      </c>
      <c r="E10" s="5">
        <v>340.44</v>
      </c>
      <c r="F10" s="11">
        <v>2483.9</v>
      </c>
      <c r="G10" s="5">
        <v>340.49</v>
      </c>
      <c r="H10" s="11">
        <v>2305.4</v>
      </c>
      <c r="I10" s="11">
        <v>2645.9</v>
      </c>
      <c r="J10" s="8">
        <v>1.091</v>
      </c>
      <c r="K10" s="8">
        <v>7.5938999999999997</v>
      </c>
      <c r="L10">
        <v>50</v>
      </c>
    </row>
    <row r="11" spans="1:12" x14ac:dyDescent="0.2">
      <c r="A11">
        <v>60</v>
      </c>
      <c r="B11" s="5">
        <v>85.94</v>
      </c>
      <c r="C11" s="2">
        <v>1.0330999999999999E-3</v>
      </c>
      <c r="D11" s="3">
        <v>2.7320000000000002</v>
      </c>
      <c r="E11" s="5">
        <v>359.79</v>
      </c>
      <c r="F11" s="11">
        <v>2489.6</v>
      </c>
      <c r="G11" s="5">
        <v>359.86</v>
      </c>
      <c r="H11" s="11">
        <v>2293.6</v>
      </c>
      <c r="I11" s="11">
        <v>2653.5</v>
      </c>
      <c r="J11" s="8">
        <v>1.1453</v>
      </c>
      <c r="K11" s="8">
        <v>7.532</v>
      </c>
      <c r="L11">
        <v>60</v>
      </c>
    </row>
    <row r="12" spans="1:12" x14ac:dyDescent="0.2">
      <c r="A12">
        <v>70</v>
      </c>
      <c r="B12" s="5">
        <v>89.95</v>
      </c>
      <c r="C12" s="2">
        <v>1.036E-3</v>
      </c>
      <c r="D12" s="3">
        <v>2.3650000000000002</v>
      </c>
      <c r="E12" s="5">
        <v>376.63</v>
      </c>
      <c r="F12" s="11">
        <v>2494.5</v>
      </c>
      <c r="G12" s="5">
        <v>376.7</v>
      </c>
      <c r="H12" s="11">
        <v>2283.3000000000002</v>
      </c>
      <c r="I12" s="11">
        <v>2660</v>
      </c>
      <c r="J12" s="8">
        <v>1.1919</v>
      </c>
      <c r="K12" s="8">
        <v>7.4797000000000002</v>
      </c>
      <c r="L12">
        <v>70</v>
      </c>
    </row>
    <row r="13" spans="1:12" x14ac:dyDescent="0.2">
      <c r="A13">
        <v>80</v>
      </c>
      <c r="B13" s="5">
        <v>93.5</v>
      </c>
      <c r="C13" s="2">
        <v>1.0380000000000001E-3</v>
      </c>
      <c r="D13" s="3">
        <v>2.0870000000000002</v>
      </c>
      <c r="E13" s="5">
        <v>391.58</v>
      </c>
      <c r="F13" s="11">
        <v>2498.8000000000002</v>
      </c>
      <c r="G13" s="5">
        <v>391.66</v>
      </c>
      <c r="H13" s="11">
        <v>2274.1</v>
      </c>
      <c r="I13" s="11">
        <v>2665.8</v>
      </c>
      <c r="J13" s="8">
        <v>1.2329000000000001</v>
      </c>
      <c r="K13" s="8">
        <v>7.4345999999999997</v>
      </c>
      <c r="L13">
        <v>80</v>
      </c>
    </row>
    <row r="14" spans="1:12" x14ac:dyDescent="0.2">
      <c r="A14">
        <v>90</v>
      </c>
      <c r="B14" s="5">
        <v>96.71</v>
      </c>
      <c r="C14" s="2">
        <v>1.0409999999999998E-3</v>
      </c>
      <c r="D14" s="3">
        <v>1.869</v>
      </c>
      <c r="E14" s="5">
        <v>405.06</v>
      </c>
      <c r="F14" s="11">
        <v>2502.6</v>
      </c>
      <c r="G14" s="5">
        <v>405.15</v>
      </c>
      <c r="H14" s="11">
        <v>2265.6999999999998</v>
      </c>
      <c r="I14" s="11">
        <v>2670.9</v>
      </c>
      <c r="J14" s="8">
        <v>1.2695000000000001</v>
      </c>
      <c r="K14" s="8">
        <v>7.3948999999999998</v>
      </c>
      <c r="L14">
        <v>90</v>
      </c>
    </row>
    <row r="15" spans="1:12" x14ac:dyDescent="0.2">
      <c r="A15">
        <v>100</v>
      </c>
      <c r="B15" s="5">
        <v>99.63</v>
      </c>
      <c r="C15" s="2">
        <v>1.0432E-3</v>
      </c>
      <c r="D15" s="3">
        <v>1.694</v>
      </c>
      <c r="E15" s="5">
        <v>417.36</v>
      </c>
      <c r="F15" s="11">
        <v>2506.1</v>
      </c>
      <c r="G15" s="5">
        <v>417.46</v>
      </c>
      <c r="H15" s="11">
        <v>2258</v>
      </c>
      <c r="I15" s="11">
        <v>2675.5</v>
      </c>
      <c r="J15" s="8">
        <v>1.3026</v>
      </c>
      <c r="K15" s="8">
        <v>7.3593999999999999</v>
      </c>
      <c r="L15">
        <v>100</v>
      </c>
    </row>
    <row r="16" spans="1:12" x14ac:dyDescent="0.2">
      <c r="A16">
        <v>150</v>
      </c>
      <c r="B16" s="5">
        <v>111.4</v>
      </c>
      <c r="C16" s="2">
        <v>1.0528E-3</v>
      </c>
      <c r="D16" s="3">
        <v>1.159</v>
      </c>
      <c r="E16" s="5">
        <v>466.94</v>
      </c>
      <c r="F16" s="11">
        <v>2519.6999999999998</v>
      </c>
      <c r="G16" s="5">
        <v>467.11</v>
      </c>
      <c r="H16" s="11">
        <v>2226.5</v>
      </c>
      <c r="I16" s="11">
        <v>2693.6</v>
      </c>
      <c r="J16" s="8">
        <v>1.4336</v>
      </c>
      <c r="K16" s="8">
        <v>7.2233000000000001</v>
      </c>
      <c r="L16">
        <v>150</v>
      </c>
    </row>
    <row r="17" spans="1:12" x14ac:dyDescent="0.2">
      <c r="A17">
        <v>200</v>
      </c>
      <c r="B17" s="5">
        <v>120.2</v>
      </c>
      <c r="C17" s="2">
        <v>1.0605E-3</v>
      </c>
      <c r="D17" s="3">
        <v>0.88570000000000004</v>
      </c>
      <c r="E17" s="5">
        <v>504.49</v>
      </c>
      <c r="F17" s="11">
        <v>2529.5</v>
      </c>
      <c r="G17" s="5">
        <v>504.7</v>
      </c>
      <c r="H17" s="11">
        <v>2201.9</v>
      </c>
      <c r="I17" s="11">
        <v>2706.7</v>
      </c>
      <c r="J17" s="8">
        <v>1.5301</v>
      </c>
      <c r="K17" s="8">
        <v>7.1271000000000004</v>
      </c>
      <c r="L17">
        <v>200</v>
      </c>
    </row>
    <row r="18" spans="1:12" x14ac:dyDescent="0.2">
      <c r="A18">
        <v>250</v>
      </c>
      <c r="B18" s="5">
        <v>127.4</v>
      </c>
      <c r="C18" s="2">
        <v>1.0671999999999999E-3</v>
      </c>
      <c r="D18" s="3">
        <v>0.71870000000000001</v>
      </c>
      <c r="E18" s="5">
        <v>535.1</v>
      </c>
      <c r="F18" s="11">
        <v>2537.1999999999998</v>
      </c>
      <c r="G18" s="5">
        <v>535.37</v>
      </c>
      <c r="H18" s="11">
        <v>2181.5</v>
      </c>
      <c r="I18" s="11">
        <v>2716.9</v>
      </c>
      <c r="J18" s="8">
        <v>1.6072</v>
      </c>
      <c r="K18" s="8">
        <v>7.0526999999999997</v>
      </c>
      <c r="L18">
        <v>250</v>
      </c>
    </row>
    <row r="19" spans="1:12" x14ac:dyDescent="0.2">
      <c r="A19">
        <v>300</v>
      </c>
      <c r="B19" s="5">
        <v>133.6</v>
      </c>
      <c r="C19" s="2">
        <v>1.0731999999999998E-3</v>
      </c>
      <c r="D19" s="3">
        <v>0.60580000000000001</v>
      </c>
      <c r="E19" s="5">
        <v>561.15</v>
      </c>
      <c r="F19" s="11">
        <v>2543.6</v>
      </c>
      <c r="G19" s="5">
        <v>561.47</v>
      </c>
      <c r="H19" s="11">
        <v>2163.8000000000002</v>
      </c>
      <c r="I19" s="11">
        <v>2725.3</v>
      </c>
      <c r="J19" s="8">
        <v>1.6718</v>
      </c>
      <c r="K19" s="8">
        <v>6.9919000000000002</v>
      </c>
      <c r="L19">
        <v>300</v>
      </c>
    </row>
    <row r="20" spans="1:12" x14ac:dyDescent="0.2">
      <c r="A20">
        <v>350</v>
      </c>
      <c r="B20" s="5">
        <v>138.9</v>
      </c>
      <c r="C20" s="2">
        <v>1.0786000000000001E-3</v>
      </c>
      <c r="D20" s="3">
        <v>0.52429999999999999</v>
      </c>
      <c r="E20" s="5">
        <v>583.95000000000005</v>
      </c>
      <c r="F20" s="11">
        <v>2546.9</v>
      </c>
      <c r="G20" s="5">
        <v>584.33000000000004</v>
      </c>
      <c r="H20" s="11">
        <v>2148.1</v>
      </c>
      <c r="I20" s="11">
        <v>2732.4</v>
      </c>
      <c r="J20" s="8">
        <v>1.7275</v>
      </c>
      <c r="K20" s="8">
        <v>6.9405000000000001</v>
      </c>
      <c r="L20">
        <v>350</v>
      </c>
    </row>
    <row r="21" spans="1:12" x14ac:dyDescent="0.2">
      <c r="A21">
        <v>400</v>
      </c>
      <c r="B21" s="5">
        <v>143.6</v>
      </c>
      <c r="C21" s="2">
        <v>1.0835999999999999E-3</v>
      </c>
      <c r="D21" s="3">
        <v>0.46250000000000002</v>
      </c>
      <c r="E21" s="5">
        <v>604.30999999999995</v>
      </c>
      <c r="F21" s="11">
        <v>2553.6</v>
      </c>
      <c r="G21" s="5">
        <v>604.74</v>
      </c>
      <c r="H21" s="11">
        <v>2133.8000000000002</v>
      </c>
      <c r="I21" s="11">
        <v>2738.6</v>
      </c>
      <c r="J21" s="8">
        <v>1.7766</v>
      </c>
      <c r="K21" s="8">
        <v>6.8959000000000001</v>
      </c>
      <c r="L21">
        <v>400</v>
      </c>
    </row>
    <row r="22" spans="1:12" x14ac:dyDescent="0.2">
      <c r="A22">
        <v>450</v>
      </c>
      <c r="B22" s="5">
        <v>147.9</v>
      </c>
      <c r="C22" s="2">
        <v>1.0882000000000001E-3</v>
      </c>
      <c r="D22" s="3">
        <v>0.41399999999999998</v>
      </c>
      <c r="E22" s="5">
        <v>622.25</v>
      </c>
      <c r="F22" s="11">
        <v>2557.6</v>
      </c>
      <c r="G22" s="5">
        <v>623.25</v>
      </c>
      <c r="H22" s="11">
        <v>2120.6999999999998</v>
      </c>
      <c r="I22" s="11">
        <v>2743.9</v>
      </c>
      <c r="J22" s="8">
        <v>1.8207</v>
      </c>
      <c r="K22" s="8">
        <v>6.8564999999999996</v>
      </c>
      <c r="L22">
        <v>450</v>
      </c>
    </row>
    <row r="23" spans="1:12" x14ac:dyDescent="0.2">
      <c r="A23">
        <v>500</v>
      </c>
      <c r="B23" s="5">
        <v>151.9</v>
      </c>
      <c r="C23" s="2">
        <v>1.0926E-3</v>
      </c>
      <c r="D23" s="3">
        <v>0.37490000000000001</v>
      </c>
      <c r="E23" s="5">
        <v>639.67999999999995</v>
      </c>
      <c r="F23" s="11">
        <v>2561.1999999999998</v>
      </c>
      <c r="G23" s="5">
        <v>640.23</v>
      </c>
      <c r="H23" s="11">
        <v>2108.5</v>
      </c>
      <c r="I23" s="11">
        <v>2748.7</v>
      </c>
      <c r="J23" s="8">
        <v>1.8607</v>
      </c>
      <c r="K23" s="8">
        <v>6.8212000000000002</v>
      </c>
      <c r="L23">
        <v>500</v>
      </c>
    </row>
    <row r="24" spans="1:12" x14ac:dyDescent="0.2">
      <c r="A24">
        <v>600</v>
      </c>
      <c r="B24" s="5">
        <v>158.9</v>
      </c>
      <c r="C24" s="2">
        <v>1.1006E-3</v>
      </c>
      <c r="D24" s="3">
        <v>0.31569999999999998</v>
      </c>
      <c r="E24" s="5">
        <v>669.9</v>
      </c>
      <c r="F24" s="11">
        <v>2567.4</v>
      </c>
      <c r="G24" s="5">
        <v>670.56</v>
      </c>
      <c r="H24" s="11">
        <v>2086.3000000000002</v>
      </c>
      <c r="I24" s="11">
        <v>2756.8</v>
      </c>
      <c r="J24" s="8">
        <v>1.9312</v>
      </c>
      <c r="K24" s="8">
        <v>6.76</v>
      </c>
      <c r="L24">
        <v>600</v>
      </c>
    </row>
    <row r="25" spans="1:12" x14ac:dyDescent="0.2">
      <c r="A25">
        <v>700</v>
      </c>
      <c r="B25" s="5">
        <v>165</v>
      </c>
      <c r="C25" s="2">
        <v>1.108E-3</v>
      </c>
      <c r="D25" s="3">
        <v>0.27289999999999998</v>
      </c>
      <c r="E25" s="5">
        <v>696.44</v>
      </c>
      <c r="F25" s="11">
        <v>2572.5</v>
      </c>
      <c r="G25" s="5">
        <v>697.22</v>
      </c>
      <c r="H25" s="11">
        <v>2066.3000000000002</v>
      </c>
      <c r="I25" s="11">
        <v>2763.5</v>
      </c>
      <c r="J25" s="8">
        <v>1.9922</v>
      </c>
      <c r="K25" s="8">
        <v>6.7080000000000002</v>
      </c>
      <c r="L25">
        <v>700</v>
      </c>
    </row>
    <row r="26" spans="1:12" x14ac:dyDescent="0.2">
      <c r="A26">
        <v>800</v>
      </c>
      <c r="B26" s="5">
        <v>170.4</v>
      </c>
      <c r="C26" s="2">
        <v>1.1148E-3</v>
      </c>
      <c r="D26" s="3">
        <v>0.2404</v>
      </c>
      <c r="E26" s="5">
        <v>720.22</v>
      </c>
      <c r="F26" s="11">
        <v>2576.8000000000002</v>
      </c>
      <c r="G26" s="5">
        <v>721.11</v>
      </c>
      <c r="H26" s="11">
        <v>2048</v>
      </c>
      <c r="I26" s="11">
        <v>2769.1</v>
      </c>
      <c r="J26" s="8">
        <v>2.0461999999999998</v>
      </c>
      <c r="K26" s="8">
        <v>6.6627999999999998</v>
      </c>
      <c r="L26">
        <v>800</v>
      </c>
    </row>
    <row r="27" spans="1:12" x14ac:dyDescent="0.2">
      <c r="A27">
        <v>900</v>
      </c>
      <c r="B27" s="5">
        <v>175.4</v>
      </c>
      <c r="C27" s="2">
        <v>1.1211999999999999E-3</v>
      </c>
      <c r="D27" s="3">
        <v>0.215</v>
      </c>
      <c r="E27" s="5">
        <v>741.83</v>
      </c>
      <c r="F27" s="11">
        <v>2580.5</v>
      </c>
      <c r="G27" s="5">
        <v>742.83</v>
      </c>
      <c r="H27" s="11">
        <v>2031.1</v>
      </c>
      <c r="I27" s="11">
        <v>2773.9</v>
      </c>
      <c r="J27" s="8">
        <v>2.0945999999999998</v>
      </c>
      <c r="K27" s="8">
        <v>6.6226000000000003</v>
      </c>
      <c r="L27">
        <v>900</v>
      </c>
    </row>
    <row r="28" spans="1:12" x14ac:dyDescent="0.2">
      <c r="A28">
        <v>1000</v>
      </c>
      <c r="B28" s="5">
        <v>179.9</v>
      </c>
      <c r="C28" s="2">
        <v>1.1272999999999999E-3</v>
      </c>
      <c r="D28" s="3">
        <v>0.19439999999999999</v>
      </c>
      <c r="E28" s="5">
        <v>761.68</v>
      </c>
      <c r="F28" s="11">
        <v>2583.6</v>
      </c>
      <c r="G28" s="5">
        <v>762.81</v>
      </c>
      <c r="H28" s="11">
        <v>2015.3</v>
      </c>
      <c r="I28" s="11">
        <v>2778.1</v>
      </c>
      <c r="J28" s="8">
        <v>2.1387</v>
      </c>
      <c r="K28" s="8">
        <v>6.5862999999999996</v>
      </c>
      <c r="L28">
        <v>1000</v>
      </c>
    </row>
    <row r="29" spans="1:12" x14ac:dyDescent="0.2">
      <c r="A29">
        <v>1500</v>
      </c>
      <c r="B29" s="5">
        <v>198.3</v>
      </c>
      <c r="C29" s="2">
        <v>1.1539E-3</v>
      </c>
      <c r="D29" s="3">
        <v>0.1318</v>
      </c>
      <c r="E29" s="5">
        <v>843.16</v>
      </c>
      <c r="F29" s="11">
        <v>2594.5</v>
      </c>
      <c r="G29" s="5">
        <v>844.84</v>
      </c>
      <c r="H29" s="11">
        <v>1947.3</v>
      </c>
      <c r="I29" s="11">
        <v>2792.2</v>
      </c>
      <c r="J29" s="8">
        <v>2.3149999999999999</v>
      </c>
      <c r="K29" s="8">
        <v>6.4447999999999999</v>
      </c>
      <c r="L29">
        <v>1500</v>
      </c>
    </row>
    <row r="30" spans="1:12" x14ac:dyDescent="0.2">
      <c r="A30">
        <v>2000</v>
      </c>
      <c r="B30" s="5">
        <v>212.4</v>
      </c>
      <c r="C30" s="2">
        <v>1.1767000000000001E-3</v>
      </c>
      <c r="D30" s="3">
        <v>9.9629999999999996E-2</v>
      </c>
      <c r="E30" s="5">
        <v>906.44</v>
      </c>
      <c r="F30" s="11">
        <v>2600.3000000000002</v>
      </c>
      <c r="G30" s="5">
        <v>908.79</v>
      </c>
      <c r="H30" s="11">
        <v>1890.7</v>
      </c>
      <c r="I30" s="11">
        <v>2799.5</v>
      </c>
      <c r="J30" s="8">
        <v>2.4474</v>
      </c>
      <c r="K30" s="8">
        <v>6.3409000000000004</v>
      </c>
      <c r="L30">
        <v>2000</v>
      </c>
    </row>
    <row r="31" spans="1:12" x14ac:dyDescent="0.2">
      <c r="A31">
        <v>2500</v>
      </c>
      <c r="B31" s="5">
        <v>224</v>
      </c>
      <c r="C31" s="2">
        <v>1.1973000000000001E-3</v>
      </c>
      <c r="D31" s="3">
        <v>7.9979999999999996E-2</v>
      </c>
      <c r="E31" s="5">
        <v>959.11</v>
      </c>
      <c r="F31" s="11">
        <v>2603.1</v>
      </c>
      <c r="G31" s="5">
        <v>962.11</v>
      </c>
      <c r="H31" s="11">
        <v>1841</v>
      </c>
      <c r="I31" s="11">
        <v>2803.1</v>
      </c>
      <c r="J31" s="8">
        <v>2.5547</v>
      </c>
      <c r="K31" s="8">
        <v>6.2575000000000003</v>
      </c>
      <c r="L31">
        <v>2500</v>
      </c>
    </row>
    <row r="32" spans="1:12" x14ac:dyDescent="0.2">
      <c r="A32">
        <v>3000</v>
      </c>
      <c r="B32" s="5">
        <v>233.9</v>
      </c>
      <c r="C32" s="2">
        <v>1.2164999999999999E-3</v>
      </c>
      <c r="D32" s="3">
        <v>6.6680000000000003E-2</v>
      </c>
      <c r="E32" s="5">
        <v>1004.8</v>
      </c>
      <c r="F32" s="11">
        <v>2604.1</v>
      </c>
      <c r="G32" s="5">
        <v>1008.4</v>
      </c>
      <c r="H32" s="11">
        <v>1795.7</v>
      </c>
      <c r="I32" s="11">
        <v>2804.2</v>
      </c>
      <c r="J32" s="8">
        <v>2.6457000000000002</v>
      </c>
      <c r="K32" s="8">
        <v>6.1868999999999996</v>
      </c>
      <c r="L32">
        <v>3000</v>
      </c>
    </row>
    <row r="33" spans="1:12" x14ac:dyDescent="0.2">
      <c r="A33">
        <v>3500</v>
      </c>
      <c r="B33" s="5">
        <v>242.6</v>
      </c>
      <c r="C33" s="2">
        <v>1.2346999999999998E-3</v>
      </c>
      <c r="D33" s="3">
        <v>5.7070000000000003E-2</v>
      </c>
      <c r="E33" s="5">
        <v>1045.4000000000001</v>
      </c>
      <c r="F33" s="11">
        <v>2603.6999999999998</v>
      </c>
      <c r="G33" s="5">
        <v>1049.8</v>
      </c>
      <c r="H33" s="11">
        <v>1753.7</v>
      </c>
      <c r="I33" s="11">
        <v>2803.4</v>
      </c>
      <c r="J33" s="8">
        <v>2.7252999999999998</v>
      </c>
      <c r="K33" s="8">
        <v>6.1253000000000002</v>
      </c>
      <c r="L33">
        <v>3500</v>
      </c>
    </row>
    <row r="34" spans="1:12" x14ac:dyDescent="0.2">
      <c r="A34">
        <v>4000</v>
      </c>
      <c r="B34" s="5">
        <v>250.4</v>
      </c>
      <c r="C34" s="2">
        <v>1.2522E-3</v>
      </c>
      <c r="D34" s="3">
        <v>4.9779999999999998E-2</v>
      </c>
      <c r="E34" s="5">
        <v>1082.3</v>
      </c>
      <c r="F34" s="11">
        <v>2602.3000000000002</v>
      </c>
      <c r="G34" s="5">
        <v>1087.3</v>
      </c>
      <c r="H34" s="11">
        <v>1714.1</v>
      </c>
      <c r="I34" s="11">
        <v>2801.4</v>
      </c>
      <c r="J34" s="8">
        <v>2.7964000000000002</v>
      </c>
      <c r="K34" s="8">
        <v>6.0701000000000001</v>
      </c>
      <c r="L34">
        <v>4000</v>
      </c>
    </row>
    <row r="35" spans="1:12" x14ac:dyDescent="0.2">
      <c r="A35">
        <v>4500</v>
      </c>
      <c r="B35" s="5">
        <v>257.5</v>
      </c>
      <c r="C35" s="2">
        <v>1.2692000000000001E-3</v>
      </c>
      <c r="D35" s="3">
        <v>4.4060000000000002E-2</v>
      </c>
      <c r="E35" s="5">
        <v>1116.2</v>
      </c>
      <c r="F35" s="11">
        <v>2600.1</v>
      </c>
      <c r="G35" s="5">
        <v>1121.9000000000001</v>
      </c>
      <c r="H35" s="11">
        <v>1676.4</v>
      </c>
      <c r="I35" s="11">
        <v>2798.3</v>
      </c>
      <c r="J35" s="8">
        <v>2.8610000000000002</v>
      </c>
      <c r="K35" s="8">
        <v>6.0198999999999998</v>
      </c>
      <c r="L35">
        <v>4500</v>
      </c>
    </row>
    <row r="36" spans="1:12" x14ac:dyDescent="0.2">
      <c r="A36">
        <v>5000</v>
      </c>
      <c r="B36" s="5">
        <v>264</v>
      </c>
      <c r="C36" s="2">
        <v>1.2859E-3</v>
      </c>
      <c r="D36" s="3">
        <v>3.9440000000000003E-2</v>
      </c>
      <c r="E36" s="5">
        <v>1147.8</v>
      </c>
      <c r="F36" s="11">
        <v>2597.1</v>
      </c>
      <c r="G36" s="5">
        <v>1154.2</v>
      </c>
      <c r="H36" s="11">
        <v>1640.1</v>
      </c>
      <c r="I36" s="11">
        <v>2794.3</v>
      </c>
      <c r="J36" s="8">
        <v>2.9201999999999999</v>
      </c>
      <c r="K36" s="8">
        <v>5.9733999999999998</v>
      </c>
      <c r="L36">
        <v>5000</v>
      </c>
    </row>
    <row r="37" spans="1:12" x14ac:dyDescent="0.2">
      <c r="A37">
        <v>6000</v>
      </c>
      <c r="B37" s="5">
        <v>275.60000000000002</v>
      </c>
      <c r="C37" s="2">
        <v>1.3186999999999999E-3</v>
      </c>
      <c r="D37" s="3">
        <v>3.2439999999999997E-2</v>
      </c>
      <c r="E37" s="5">
        <v>1205.4000000000001</v>
      </c>
      <c r="F37" s="11">
        <v>2589.6999999999998</v>
      </c>
      <c r="G37" s="5">
        <v>1213.4000000000001</v>
      </c>
      <c r="H37" s="11">
        <v>1571</v>
      </c>
      <c r="I37" s="11">
        <v>2784.3</v>
      </c>
      <c r="J37" s="8">
        <v>3.0266999999999999</v>
      </c>
      <c r="K37" s="8">
        <v>5.8891999999999998</v>
      </c>
      <c r="L37">
        <v>6000</v>
      </c>
    </row>
    <row r="38" spans="1:12" x14ac:dyDescent="0.2">
      <c r="A38">
        <v>7000</v>
      </c>
      <c r="B38" s="5">
        <v>285.89999999999998</v>
      </c>
      <c r="C38" s="2">
        <v>1.3512999999999999E-3</v>
      </c>
      <c r="D38" s="3">
        <v>2.7369999999999998E-2</v>
      </c>
      <c r="E38" s="5">
        <v>1257.5999999999999</v>
      </c>
      <c r="F38" s="11">
        <v>2580.5</v>
      </c>
      <c r="G38" s="5">
        <v>1267</v>
      </c>
      <c r="H38" s="11">
        <v>1505.1</v>
      </c>
      <c r="I38" s="11">
        <v>2772.1</v>
      </c>
      <c r="J38" s="8">
        <v>3.1211000000000002</v>
      </c>
      <c r="K38" s="8">
        <v>5.8132999999999999</v>
      </c>
      <c r="L38">
        <v>7000</v>
      </c>
    </row>
    <row r="39" spans="1:12" x14ac:dyDescent="0.2">
      <c r="A39">
        <v>8000</v>
      </c>
      <c r="B39" s="5">
        <v>295.10000000000002</v>
      </c>
      <c r="C39" s="2">
        <v>1.3842000000000001E-3</v>
      </c>
      <c r="D39" s="3">
        <v>2.3519999999999999E-2</v>
      </c>
      <c r="E39" s="5">
        <v>1305.5999999999999</v>
      </c>
      <c r="F39" s="11">
        <v>2569.8000000000002</v>
      </c>
      <c r="G39" s="5">
        <v>1316.6</v>
      </c>
      <c r="H39" s="11">
        <v>1441.3</v>
      </c>
      <c r="I39" s="11">
        <v>2758</v>
      </c>
      <c r="J39" s="8">
        <v>3.2067999999999999</v>
      </c>
      <c r="K39" s="8">
        <v>5.7431999999999999</v>
      </c>
      <c r="L39">
        <v>8000</v>
      </c>
    </row>
    <row r="40" spans="1:12" x14ac:dyDescent="0.2">
      <c r="A40">
        <v>9000</v>
      </c>
      <c r="B40" s="5">
        <v>303.39999999999998</v>
      </c>
      <c r="C40" s="2">
        <v>1.4177999999999999E-3</v>
      </c>
      <c r="D40" s="3">
        <v>2.0480000000000002E-2</v>
      </c>
      <c r="E40" s="5">
        <v>1350.5</v>
      </c>
      <c r="F40" s="11">
        <v>2557.8000000000002</v>
      </c>
      <c r="G40" s="5">
        <v>1363.3</v>
      </c>
      <c r="H40" s="11">
        <v>1378.9</v>
      </c>
      <c r="I40" s="11">
        <v>2742.1</v>
      </c>
      <c r="J40" s="8">
        <v>3.2858000000000001</v>
      </c>
      <c r="K40" s="8">
        <v>5.6772</v>
      </c>
      <c r="L40">
        <v>9000</v>
      </c>
    </row>
    <row r="41" spans="1:12" x14ac:dyDescent="0.2">
      <c r="A41">
        <v>10000</v>
      </c>
      <c r="B41" s="5">
        <v>311.10000000000002</v>
      </c>
      <c r="C41" s="2">
        <v>1.4524E-3</v>
      </c>
      <c r="D41" s="3">
        <v>1.8030000000000001E-2</v>
      </c>
      <c r="E41" s="5">
        <v>1393</v>
      </c>
      <c r="F41" s="11">
        <v>2544.4</v>
      </c>
      <c r="G41" s="5">
        <v>1407.6</v>
      </c>
      <c r="H41" s="11">
        <v>1317.1</v>
      </c>
      <c r="I41" s="11">
        <v>2724.7</v>
      </c>
      <c r="J41" s="8">
        <v>3.3595999999999999</v>
      </c>
      <c r="K41" s="8">
        <v>5.6140999999999996</v>
      </c>
      <c r="L41">
        <v>10000</v>
      </c>
    </row>
    <row r="42" spans="1:12" x14ac:dyDescent="0.2">
      <c r="A42">
        <v>11000</v>
      </c>
      <c r="B42" s="5">
        <v>318.2</v>
      </c>
      <c r="C42" s="2">
        <v>1.4885999999999999E-3</v>
      </c>
      <c r="D42" s="3">
        <v>1.5990000000000001E-2</v>
      </c>
      <c r="E42" s="5">
        <v>1433.7</v>
      </c>
      <c r="F42" s="11">
        <v>2529.8000000000002</v>
      </c>
      <c r="G42" s="5">
        <v>1450.1</v>
      </c>
      <c r="H42" s="11">
        <v>1255.5</v>
      </c>
      <c r="I42" s="11">
        <v>2705.6</v>
      </c>
      <c r="J42" s="8">
        <v>3.4295</v>
      </c>
      <c r="K42" s="8">
        <v>5.5526999999999997</v>
      </c>
      <c r="L42">
        <v>11000</v>
      </c>
    </row>
    <row r="43" spans="1:12" x14ac:dyDescent="0.2">
      <c r="A43">
        <v>12000</v>
      </c>
      <c r="B43" s="5">
        <v>324.8</v>
      </c>
      <c r="C43" s="2">
        <v>1.5267E-3</v>
      </c>
      <c r="D43" s="3">
        <v>1.426E-2</v>
      </c>
      <c r="E43" s="5">
        <v>1473</v>
      </c>
      <c r="F43" s="11">
        <v>2513.6999999999998</v>
      </c>
      <c r="G43" s="5">
        <v>1491.3</v>
      </c>
      <c r="H43" s="11">
        <v>1193.5999999999999</v>
      </c>
      <c r="I43" s="11">
        <v>2684.9</v>
      </c>
      <c r="J43" s="8">
        <v>3.4962</v>
      </c>
      <c r="K43" s="8">
        <v>5.4923999999999999</v>
      </c>
      <c r="L43">
        <v>12000</v>
      </c>
    </row>
    <row r="44" spans="1:12" x14ac:dyDescent="0.2">
      <c r="A44">
        <v>13000</v>
      </c>
      <c r="B44" s="5">
        <v>330.9</v>
      </c>
      <c r="C44" s="2">
        <v>1.5670999999999999E-3</v>
      </c>
      <c r="D44" s="3">
        <v>1.278E-2</v>
      </c>
      <c r="E44" s="5">
        <v>1511.1</v>
      </c>
      <c r="F44" s="11">
        <v>2496.1</v>
      </c>
      <c r="G44" s="5">
        <v>1531.5</v>
      </c>
      <c r="H44" s="11">
        <v>1130.7</v>
      </c>
      <c r="I44" s="11">
        <v>2662.2</v>
      </c>
      <c r="J44" s="8">
        <v>3.5606</v>
      </c>
      <c r="K44" s="8">
        <v>5.4322999999999997</v>
      </c>
      <c r="L44">
        <v>13000</v>
      </c>
    </row>
    <row r="45" spans="1:12" x14ac:dyDescent="0.2">
      <c r="A45">
        <v>14000</v>
      </c>
      <c r="B45" s="5">
        <v>336.8</v>
      </c>
      <c r="C45" s="2">
        <v>1.6107000000000001E-3</v>
      </c>
      <c r="D45" s="3">
        <v>1.149E-2</v>
      </c>
      <c r="E45" s="5">
        <v>1548.6</v>
      </c>
      <c r="F45" s="11">
        <v>2476.8000000000002</v>
      </c>
      <c r="G45" s="5">
        <v>1571.1</v>
      </c>
      <c r="H45" s="11">
        <v>1066.5</v>
      </c>
      <c r="I45" s="11">
        <v>2637.6</v>
      </c>
      <c r="J45" s="8">
        <v>3.6232000000000002</v>
      </c>
      <c r="K45" s="8">
        <v>5.3716999999999997</v>
      </c>
      <c r="L45">
        <v>14000</v>
      </c>
    </row>
    <row r="46" spans="1:12" x14ac:dyDescent="0.2">
      <c r="A46">
        <v>15000</v>
      </c>
      <c r="B46" s="5">
        <v>342.2</v>
      </c>
      <c r="C46" s="2">
        <v>1.6580999999999998E-3</v>
      </c>
      <c r="D46" s="3">
        <v>1.034E-2</v>
      </c>
      <c r="E46" s="5">
        <v>1585.6</v>
      </c>
      <c r="F46" s="11">
        <v>2455.5</v>
      </c>
      <c r="G46" s="5">
        <v>1610.5</v>
      </c>
      <c r="H46" s="11">
        <v>1000</v>
      </c>
      <c r="I46" s="11">
        <v>2610.5</v>
      </c>
      <c r="J46" s="8">
        <v>3.6848000000000001</v>
      </c>
      <c r="K46" s="8">
        <v>5.3098000000000001</v>
      </c>
      <c r="L46">
        <v>15000</v>
      </c>
    </row>
    <row r="47" spans="1:12" x14ac:dyDescent="0.2">
      <c r="A47">
        <v>16000</v>
      </c>
      <c r="B47" s="5">
        <v>347.4</v>
      </c>
      <c r="C47" s="2">
        <v>1.7107000000000001E-3</v>
      </c>
      <c r="D47" s="3">
        <v>9.306E-3</v>
      </c>
      <c r="E47" s="5">
        <v>1622.7</v>
      </c>
      <c r="F47" s="11">
        <v>2431.6999999999998</v>
      </c>
      <c r="G47" s="5">
        <v>1650.1</v>
      </c>
      <c r="H47" s="11">
        <v>930.6</v>
      </c>
      <c r="I47" s="11">
        <v>2580.6</v>
      </c>
      <c r="J47" s="8">
        <v>3.7461000000000002</v>
      </c>
      <c r="K47" s="8">
        <v>5.2454999999999998</v>
      </c>
      <c r="L47">
        <v>16000</v>
      </c>
    </row>
    <row r="48" spans="1:12" x14ac:dyDescent="0.2">
      <c r="A48">
        <v>17000</v>
      </c>
      <c r="B48" s="5">
        <v>352.4</v>
      </c>
      <c r="C48" s="2">
        <v>1.7702E-3</v>
      </c>
      <c r="D48" s="3">
        <v>8.3639999999999999E-3</v>
      </c>
      <c r="E48" s="5">
        <v>1660.2</v>
      </c>
      <c r="F48" s="11">
        <v>2405</v>
      </c>
      <c r="G48" s="5">
        <v>1690.3</v>
      </c>
      <c r="H48" s="11">
        <v>856.9</v>
      </c>
      <c r="I48" s="11">
        <v>2547.1999999999998</v>
      </c>
      <c r="J48" s="8">
        <v>3.8079000000000001</v>
      </c>
      <c r="K48" s="8">
        <v>5.1776999999999997</v>
      </c>
      <c r="L48">
        <v>17000</v>
      </c>
    </row>
    <row r="49" spans="1:12" x14ac:dyDescent="0.2">
      <c r="A49">
        <v>18000</v>
      </c>
      <c r="B49" s="5">
        <v>357.1</v>
      </c>
      <c r="C49" s="2">
        <v>1.8396999999999999E-3</v>
      </c>
      <c r="D49" s="3">
        <v>7.489E-3</v>
      </c>
      <c r="E49" s="5">
        <v>1698.9</v>
      </c>
      <c r="F49" s="11">
        <v>2374.3000000000002</v>
      </c>
      <c r="G49" s="5">
        <v>1732</v>
      </c>
      <c r="H49" s="11">
        <v>777.1</v>
      </c>
      <c r="I49" s="11">
        <v>2509.1</v>
      </c>
      <c r="J49" s="8">
        <v>3.8715000000000002</v>
      </c>
      <c r="K49" s="8">
        <v>5.1044</v>
      </c>
      <c r="L49">
        <v>18000</v>
      </c>
    </row>
    <row r="50" spans="1:12" x14ac:dyDescent="0.2">
      <c r="A50">
        <v>19000</v>
      </c>
      <c r="B50" s="5">
        <v>361.5</v>
      </c>
      <c r="C50" s="2">
        <v>1.9242999999999999E-3</v>
      </c>
      <c r="D50" s="3">
        <v>6.6569999999999997E-3</v>
      </c>
      <c r="E50" s="5">
        <v>1739.9</v>
      </c>
      <c r="F50" s="11">
        <v>2338.1</v>
      </c>
      <c r="G50" s="5">
        <v>1776.5</v>
      </c>
      <c r="H50" s="11">
        <v>688</v>
      </c>
      <c r="I50" s="11">
        <v>2464.5</v>
      </c>
      <c r="J50" s="8">
        <v>3.9388000000000001</v>
      </c>
      <c r="K50" s="8">
        <v>5.0228000000000002</v>
      </c>
      <c r="L50">
        <v>19000</v>
      </c>
    </row>
    <row r="51" spans="1:12" x14ac:dyDescent="0.2">
      <c r="A51">
        <v>20000</v>
      </c>
      <c r="B51" s="5">
        <v>365.8</v>
      </c>
      <c r="C51" s="2">
        <v>2.036E-3</v>
      </c>
      <c r="D51" s="3">
        <v>5.8339999999999998E-3</v>
      </c>
      <c r="E51" s="5">
        <v>1785.6</v>
      </c>
      <c r="F51" s="11">
        <v>2293</v>
      </c>
      <c r="G51" s="5">
        <v>1826.3</v>
      </c>
      <c r="H51" s="11">
        <v>583.4</v>
      </c>
      <c r="I51" s="11">
        <v>2409.6999999999998</v>
      </c>
      <c r="J51" s="8">
        <v>4.0138999999999996</v>
      </c>
      <c r="K51" s="8">
        <v>4.9268999999999998</v>
      </c>
      <c r="L51">
        <v>20000</v>
      </c>
    </row>
    <row r="52" spans="1:12" x14ac:dyDescent="0.2">
      <c r="A52">
        <v>22090</v>
      </c>
      <c r="B52" s="5">
        <v>374.1</v>
      </c>
      <c r="C52" s="2">
        <v>3.1549999999999998E-3</v>
      </c>
      <c r="D52" s="3">
        <v>3.1549999999999998E-3</v>
      </c>
      <c r="E52" s="5">
        <v>2029.6</v>
      </c>
      <c r="F52" s="11">
        <v>2029.6</v>
      </c>
      <c r="G52" s="5">
        <v>2099.3000000000002</v>
      </c>
      <c r="H52" s="11">
        <v>0</v>
      </c>
      <c r="I52" s="11">
        <v>2099.3000000000002</v>
      </c>
      <c r="J52" s="8">
        <v>4.4298000000000002</v>
      </c>
      <c r="K52" s="8">
        <v>4.4298000000000002</v>
      </c>
      <c r="L52">
        <v>22090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workbookViewId="0">
      <pane ySplit="2" topLeftCell="A3" activePane="bottomLeft" state="frozen"/>
      <selection pane="bottomLeft" activeCell="K214" sqref="K214"/>
    </sheetView>
  </sheetViews>
  <sheetFormatPr defaultRowHeight="11.25" x14ac:dyDescent="0.2"/>
  <cols>
    <col min="1" max="1" width="6.83203125" style="62" bestFit="1" customWidth="1"/>
    <col min="2" max="2" width="7.1640625" customWidth="1"/>
    <col min="3" max="3" width="8" bestFit="1" customWidth="1"/>
    <col min="4" max="4" width="9.5" style="3" bestFit="1" customWidth="1"/>
    <col min="5" max="6" width="8" style="11" bestFit="1" customWidth="1"/>
    <col min="7" max="7" width="9.6640625" style="8" bestFit="1" customWidth="1"/>
  </cols>
  <sheetData>
    <row r="1" spans="1:7" ht="15.75" x14ac:dyDescent="0.25">
      <c r="A1" s="10" t="s">
        <v>33</v>
      </c>
    </row>
    <row r="2" spans="1:7" x14ac:dyDescent="0.2">
      <c r="A2" s="45" t="s">
        <v>27</v>
      </c>
      <c r="B2" s="36" t="s">
        <v>27</v>
      </c>
      <c r="C2" s="36" t="s">
        <v>28</v>
      </c>
      <c r="D2" s="37" t="s">
        <v>31</v>
      </c>
      <c r="E2" s="38" t="s">
        <v>29</v>
      </c>
      <c r="F2" s="38" t="s">
        <v>30</v>
      </c>
      <c r="G2" s="39" t="s">
        <v>32</v>
      </c>
    </row>
    <row r="3" spans="1:7" x14ac:dyDescent="0.2">
      <c r="A3" s="63">
        <v>6</v>
      </c>
      <c r="B3" s="19">
        <v>6</v>
      </c>
      <c r="C3" s="22">
        <v>36.159999999999997</v>
      </c>
      <c r="D3" s="23">
        <v>23.739000000000001</v>
      </c>
      <c r="E3" s="24">
        <v>2425</v>
      </c>
      <c r="F3" s="24">
        <v>2567.4</v>
      </c>
      <c r="G3" s="25">
        <v>8.3303999999999991</v>
      </c>
    </row>
    <row r="4" spans="1:7" x14ac:dyDescent="0.2">
      <c r="A4" s="64" t="s">
        <v>80</v>
      </c>
      <c r="B4" s="20">
        <v>6</v>
      </c>
      <c r="C4" s="26">
        <v>80</v>
      </c>
      <c r="D4" s="27">
        <v>27.132000000000001</v>
      </c>
      <c r="E4" s="28">
        <v>2487.3000000000002</v>
      </c>
      <c r="F4" s="28">
        <v>2650.1</v>
      </c>
      <c r="G4" s="29">
        <v>8.5803999999999991</v>
      </c>
    </row>
    <row r="5" spans="1:7" x14ac:dyDescent="0.2">
      <c r="A5" s="64" t="s">
        <v>80</v>
      </c>
      <c r="B5" s="20">
        <v>6</v>
      </c>
      <c r="C5" s="26">
        <v>120</v>
      </c>
      <c r="D5" s="27">
        <v>30.219000000000001</v>
      </c>
      <c r="E5" s="28">
        <v>2544.6999999999998</v>
      </c>
      <c r="F5" s="28">
        <v>2726</v>
      </c>
      <c r="G5" s="29">
        <v>8.7840000000000007</v>
      </c>
    </row>
    <row r="6" spans="1:7" x14ac:dyDescent="0.2">
      <c r="A6" s="64" t="s">
        <v>80</v>
      </c>
      <c r="B6" s="20">
        <v>6</v>
      </c>
      <c r="C6" s="26">
        <v>160</v>
      </c>
      <c r="D6" s="27">
        <v>33.302</v>
      </c>
      <c r="E6" s="28">
        <v>2602.6999999999998</v>
      </c>
      <c r="F6" s="28">
        <v>2802.5</v>
      </c>
      <c r="G6" s="29">
        <v>8.9693000000000005</v>
      </c>
    </row>
    <row r="7" spans="1:7" x14ac:dyDescent="0.2">
      <c r="A7" s="64" t="s">
        <v>80</v>
      </c>
      <c r="B7" s="20">
        <v>6</v>
      </c>
      <c r="C7" s="26">
        <v>200</v>
      </c>
      <c r="D7" s="27">
        <v>36.383000000000003</v>
      </c>
      <c r="E7" s="28">
        <v>2661.4</v>
      </c>
      <c r="F7" s="28">
        <v>2879.7</v>
      </c>
      <c r="G7" s="29">
        <v>9.1397999999999993</v>
      </c>
    </row>
    <row r="8" spans="1:7" x14ac:dyDescent="0.2">
      <c r="A8" s="64" t="s">
        <v>80</v>
      </c>
      <c r="B8" s="20">
        <v>6</v>
      </c>
      <c r="C8" s="26">
        <v>240</v>
      </c>
      <c r="D8" s="27">
        <v>39.462000000000003</v>
      </c>
      <c r="E8" s="28">
        <v>2721</v>
      </c>
      <c r="F8" s="28">
        <v>2957.8</v>
      </c>
      <c r="G8" s="29">
        <v>9.2981999999999996</v>
      </c>
    </row>
    <row r="9" spans="1:7" x14ac:dyDescent="0.2">
      <c r="A9" s="64" t="s">
        <v>80</v>
      </c>
      <c r="B9" s="20">
        <v>6</v>
      </c>
      <c r="C9" s="26">
        <v>280</v>
      </c>
      <c r="D9" s="27">
        <v>42.54</v>
      </c>
      <c r="E9" s="28">
        <v>2781.5</v>
      </c>
      <c r="F9" s="28">
        <v>3036.8</v>
      </c>
      <c r="G9" s="29">
        <v>9.4464000000000006</v>
      </c>
    </row>
    <row r="10" spans="1:7" x14ac:dyDescent="0.2">
      <c r="A10" s="64" t="s">
        <v>80</v>
      </c>
      <c r="B10" s="20">
        <v>6</v>
      </c>
      <c r="C10" s="26">
        <v>320</v>
      </c>
      <c r="D10" s="27">
        <v>45.618000000000002</v>
      </c>
      <c r="E10" s="28">
        <v>2843</v>
      </c>
      <c r="F10" s="28">
        <v>3116.7</v>
      </c>
      <c r="G10" s="29">
        <v>9.5859000000000005</v>
      </c>
    </row>
    <row r="11" spans="1:7" x14ac:dyDescent="0.2">
      <c r="A11" s="64" t="s">
        <v>80</v>
      </c>
      <c r="B11" s="20">
        <v>6</v>
      </c>
      <c r="C11" s="26">
        <v>360</v>
      </c>
      <c r="D11" s="27">
        <v>48.695999999999998</v>
      </c>
      <c r="E11" s="28">
        <v>2905.5</v>
      </c>
      <c r="F11" s="28">
        <v>3197.7</v>
      </c>
      <c r="G11" s="29">
        <v>9.718</v>
      </c>
    </row>
    <row r="12" spans="1:7" x14ac:dyDescent="0.2">
      <c r="A12" s="64" t="s">
        <v>80</v>
      </c>
      <c r="B12" s="20">
        <v>6</v>
      </c>
      <c r="C12" s="26">
        <v>400</v>
      </c>
      <c r="D12" s="27">
        <v>51.774000000000001</v>
      </c>
      <c r="E12" s="28">
        <v>2969</v>
      </c>
      <c r="F12" s="28">
        <v>3279.6</v>
      </c>
      <c r="G12" s="29">
        <v>9.8435000000000006</v>
      </c>
    </row>
    <row r="13" spans="1:7" x14ac:dyDescent="0.2">
      <c r="A13" s="64" t="s">
        <v>80</v>
      </c>
      <c r="B13" s="20">
        <v>6</v>
      </c>
      <c r="C13" s="26">
        <v>440</v>
      </c>
      <c r="D13" s="27">
        <v>54.850999999999999</v>
      </c>
      <c r="E13" s="28">
        <v>3033.5</v>
      </c>
      <c r="F13" s="28">
        <v>3362.6</v>
      </c>
      <c r="G13" s="29">
        <v>9.9633000000000003</v>
      </c>
    </row>
    <row r="14" spans="1:7" x14ac:dyDescent="0.2">
      <c r="A14" s="65" t="s">
        <v>80</v>
      </c>
      <c r="B14" s="21">
        <v>6</v>
      </c>
      <c r="C14" s="30">
        <v>500</v>
      </c>
      <c r="D14" s="31">
        <v>59.466999999999999</v>
      </c>
      <c r="E14" s="32">
        <v>3132.3</v>
      </c>
      <c r="F14" s="32">
        <v>3489.1</v>
      </c>
      <c r="G14" s="33">
        <v>10.133599999999999</v>
      </c>
    </row>
    <row r="15" spans="1:7" x14ac:dyDescent="0.2">
      <c r="A15" s="66">
        <v>35</v>
      </c>
      <c r="B15" s="16">
        <v>35</v>
      </c>
      <c r="C15" s="26">
        <v>72.69</v>
      </c>
      <c r="D15" s="27">
        <v>4.5259999999999998</v>
      </c>
      <c r="E15" s="28">
        <v>2473</v>
      </c>
      <c r="F15" s="28">
        <v>2631.4</v>
      </c>
      <c r="G15" s="29">
        <v>7.7157999999999998</v>
      </c>
    </row>
    <row r="16" spans="1:7" x14ac:dyDescent="0.2">
      <c r="A16" s="66" t="s">
        <v>80</v>
      </c>
      <c r="B16" s="17">
        <v>35</v>
      </c>
      <c r="C16" s="26">
        <v>80</v>
      </c>
      <c r="D16" s="27">
        <v>4.625</v>
      </c>
      <c r="E16" s="28">
        <v>2483.6999999999998</v>
      </c>
      <c r="F16" s="28">
        <v>2645.6</v>
      </c>
      <c r="G16" s="29">
        <v>7.7564000000000002</v>
      </c>
    </row>
    <row r="17" spans="1:7" x14ac:dyDescent="0.2">
      <c r="A17" s="66" t="s">
        <v>80</v>
      </c>
      <c r="B17" s="17">
        <v>35</v>
      </c>
      <c r="C17" s="26">
        <v>120</v>
      </c>
      <c r="D17" s="27">
        <v>5.1630000000000003</v>
      </c>
      <c r="E17" s="28">
        <v>2542.4</v>
      </c>
      <c r="F17" s="28">
        <v>2723.1</v>
      </c>
      <c r="G17" s="29">
        <v>7.9644000000000004</v>
      </c>
    </row>
    <row r="18" spans="1:7" x14ac:dyDescent="0.2">
      <c r="A18" s="66" t="s">
        <v>80</v>
      </c>
      <c r="B18" s="17">
        <v>35</v>
      </c>
      <c r="C18" s="26">
        <v>160</v>
      </c>
      <c r="D18" s="27">
        <v>5.6959999999999997</v>
      </c>
      <c r="E18" s="28">
        <v>2601.1999999999998</v>
      </c>
      <c r="F18" s="28">
        <v>2800.6</v>
      </c>
      <c r="G18" s="29">
        <v>8.1518999999999995</v>
      </c>
    </row>
    <row r="19" spans="1:7" x14ac:dyDescent="0.2">
      <c r="A19" s="66" t="s">
        <v>80</v>
      </c>
      <c r="B19" s="17">
        <v>35</v>
      </c>
      <c r="C19" s="26">
        <v>200</v>
      </c>
      <c r="D19" s="27">
        <v>6.2279999999999998</v>
      </c>
      <c r="E19" s="28">
        <v>2660.4</v>
      </c>
      <c r="F19" s="28">
        <v>2878.4</v>
      </c>
      <c r="G19" s="29">
        <v>8.3237000000000005</v>
      </c>
    </row>
    <row r="20" spans="1:7" x14ac:dyDescent="0.2">
      <c r="A20" s="66" t="s">
        <v>80</v>
      </c>
      <c r="B20" s="17">
        <v>35</v>
      </c>
      <c r="C20" s="26">
        <v>240</v>
      </c>
      <c r="D20" s="27">
        <v>6.758</v>
      </c>
      <c r="E20" s="28">
        <v>2720.3</v>
      </c>
      <c r="F20" s="28">
        <v>2956.8</v>
      </c>
      <c r="G20" s="29">
        <v>8.4827999999999992</v>
      </c>
    </row>
    <row r="21" spans="1:7" x14ac:dyDescent="0.2">
      <c r="A21" s="66" t="s">
        <v>80</v>
      </c>
      <c r="B21" s="17">
        <v>35</v>
      </c>
      <c r="C21" s="26">
        <v>280</v>
      </c>
      <c r="D21" s="27">
        <v>7.2869999999999999</v>
      </c>
      <c r="E21" s="28">
        <v>2780.9</v>
      </c>
      <c r="F21" s="28">
        <v>3036</v>
      </c>
      <c r="G21" s="29">
        <v>8.6313999999999993</v>
      </c>
    </row>
    <row r="22" spans="1:7" x14ac:dyDescent="0.2">
      <c r="A22" s="66" t="s">
        <v>80</v>
      </c>
      <c r="B22" s="17">
        <v>35</v>
      </c>
      <c r="C22" s="26">
        <v>320</v>
      </c>
      <c r="D22" s="27">
        <v>7.8150000000000004</v>
      </c>
      <c r="E22" s="28">
        <v>2842.5</v>
      </c>
      <c r="F22" s="28">
        <v>3116.1</v>
      </c>
      <c r="G22" s="29">
        <v>8.7712000000000003</v>
      </c>
    </row>
    <row r="23" spans="1:7" x14ac:dyDescent="0.2">
      <c r="A23" s="66" t="s">
        <v>80</v>
      </c>
      <c r="B23" s="17">
        <v>35</v>
      </c>
      <c r="C23" s="26">
        <v>360</v>
      </c>
      <c r="D23" s="27">
        <v>8.3439999999999994</v>
      </c>
      <c r="E23" s="28">
        <v>2905.1</v>
      </c>
      <c r="F23" s="28">
        <v>3197.1</v>
      </c>
      <c r="G23" s="29">
        <v>8.9033999999999995</v>
      </c>
    </row>
    <row r="24" spans="1:7" x14ac:dyDescent="0.2">
      <c r="A24" s="66" t="s">
        <v>80</v>
      </c>
      <c r="B24" s="17">
        <v>35</v>
      </c>
      <c r="C24" s="26">
        <v>400</v>
      </c>
      <c r="D24" s="27">
        <v>8.8719999999999999</v>
      </c>
      <c r="E24" s="28">
        <v>2968.6</v>
      </c>
      <c r="F24" s="28">
        <v>3279.2</v>
      </c>
      <c r="G24" s="29">
        <v>9.0290999999999997</v>
      </c>
    </row>
    <row r="25" spans="1:7" x14ac:dyDescent="0.2">
      <c r="A25" s="66" t="s">
        <v>80</v>
      </c>
      <c r="B25" s="17">
        <v>35</v>
      </c>
      <c r="C25" s="26">
        <v>440</v>
      </c>
      <c r="D25" s="27">
        <v>9.4</v>
      </c>
      <c r="E25" s="28">
        <v>3033.2</v>
      </c>
      <c r="F25" s="28">
        <v>3362.2</v>
      </c>
      <c r="G25" s="29">
        <v>9.1489999999999991</v>
      </c>
    </row>
    <row r="26" spans="1:7" x14ac:dyDescent="0.2">
      <c r="A26" s="66" t="s">
        <v>80</v>
      </c>
      <c r="B26" s="18">
        <v>35</v>
      </c>
      <c r="C26" s="26">
        <v>500</v>
      </c>
      <c r="D26" s="27">
        <v>10.192</v>
      </c>
      <c r="E26" s="28">
        <v>3132.1</v>
      </c>
      <c r="F26" s="28">
        <v>3488.8</v>
      </c>
      <c r="G26" s="29">
        <v>9.3193999999999999</v>
      </c>
    </row>
    <row r="27" spans="1:7" x14ac:dyDescent="0.2">
      <c r="A27" s="63">
        <v>70</v>
      </c>
      <c r="B27" s="19">
        <v>70</v>
      </c>
      <c r="C27" s="22">
        <v>89.95</v>
      </c>
      <c r="D27" s="23">
        <v>2.3650000000000002</v>
      </c>
      <c r="E27" s="24">
        <v>2494.5</v>
      </c>
      <c r="F27" s="24">
        <v>2660</v>
      </c>
      <c r="G27" s="25">
        <v>7.4797000000000002</v>
      </c>
    </row>
    <row r="28" spans="1:7" x14ac:dyDescent="0.2">
      <c r="A28" s="64" t="s">
        <v>80</v>
      </c>
      <c r="B28" s="20">
        <v>70</v>
      </c>
      <c r="C28" s="26">
        <v>100</v>
      </c>
      <c r="D28" s="27">
        <v>2.4340000000000002</v>
      </c>
      <c r="E28" s="28">
        <v>2509.6999999999998</v>
      </c>
      <c r="F28" s="28">
        <v>2680</v>
      </c>
      <c r="G28" s="29">
        <v>7.5340999999999996</v>
      </c>
    </row>
    <row r="29" spans="1:7" x14ac:dyDescent="0.2">
      <c r="A29" s="64" t="s">
        <v>80</v>
      </c>
      <c r="B29" s="20">
        <v>70</v>
      </c>
      <c r="C29" s="26">
        <v>120</v>
      </c>
      <c r="D29" s="27">
        <v>2.5710000000000002</v>
      </c>
      <c r="E29" s="28">
        <v>2539.6999999999998</v>
      </c>
      <c r="F29" s="28">
        <v>2719.6</v>
      </c>
      <c r="G29" s="29">
        <v>7.6375000000000002</v>
      </c>
    </row>
    <row r="30" spans="1:7" x14ac:dyDescent="0.2">
      <c r="A30" s="64" t="s">
        <v>80</v>
      </c>
      <c r="B30" s="20">
        <v>70</v>
      </c>
      <c r="C30" s="26">
        <v>160</v>
      </c>
      <c r="D30" s="27">
        <v>2.8410000000000002</v>
      </c>
      <c r="E30" s="28">
        <v>2599.4</v>
      </c>
      <c r="F30" s="28">
        <v>2798.2</v>
      </c>
      <c r="G30" s="29">
        <v>7.8278999999999996</v>
      </c>
    </row>
    <row r="31" spans="1:7" x14ac:dyDescent="0.2">
      <c r="A31" s="64" t="s">
        <v>80</v>
      </c>
      <c r="B31" s="20">
        <v>70</v>
      </c>
      <c r="C31" s="26">
        <v>200</v>
      </c>
      <c r="D31" s="27">
        <v>3.1080000000000001</v>
      </c>
      <c r="E31" s="28">
        <v>2659.1</v>
      </c>
      <c r="F31" s="28">
        <v>2876.7</v>
      </c>
      <c r="G31" s="29">
        <v>8.0012000000000008</v>
      </c>
    </row>
    <row r="32" spans="1:7" x14ac:dyDescent="0.2">
      <c r="A32" s="64" t="s">
        <v>80</v>
      </c>
      <c r="B32" s="20">
        <v>70</v>
      </c>
      <c r="C32" s="26">
        <v>240</v>
      </c>
      <c r="D32" s="27">
        <v>3.3740000000000001</v>
      </c>
      <c r="E32" s="28">
        <v>2719.3</v>
      </c>
      <c r="F32" s="28">
        <v>2955.5</v>
      </c>
      <c r="G32" s="29">
        <v>8.1610999999999994</v>
      </c>
    </row>
    <row r="33" spans="1:7" x14ac:dyDescent="0.2">
      <c r="A33" s="64" t="s">
        <v>80</v>
      </c>
      <c r="B33" s="20">
        <v>70</v>
      </c>
      <c r="C33" s="26">
        <v>280</v>
      </c>
      <c r="D33" s="27">
        <v>3.64</v>
      </c>
      <c r="E33" s="28">
        <v>2780.2</v>
      </c>
      <c r="F33" s="28">
        <v>3035</v>
      </c>
      <c r="G33" s="29">
        <v>8.3162000000000003</v>
      </c>
    </row>
    <row r="34" spans="1:7" x14ac:dyDescent="0.2">
      <c r="A34" s="64" t="s">
        <v>80</v>
      </c>
      <c r="B34" s="20">
        <v>70</v>
      </c>
      <c r="C34" s="26">
        <v>320</v>
      </c>
      <c r="D34" s="27">
        <v>3.9049999999999998</v>
      </c>
      <c r="E34" s="28">
        <v>2842</v>
      </c>
      <c r="F34" s="28">
        <v>3115.3</v>
      </c>
      <c r="G34" s="29">
        <v>8.4504000000000001</v>
      </c>
    </row>
    <row r="35" spans="1:7" x14ac:dyDescent="0.2">
      <c r="A35" s="64" t="s">
        <v>80</v>
      </c>
      <c r="B35" s="20">
        <v>70</v>
      </c>
      <c r="C35" s="26">
        <v>360</v>
      </c>
      <c r="D35" s="27">
        <v>4.17</v>
      </c>
      <c r="E35" s="28">
        <v>2904.6</v>
      </c>
      <c r="F35" s="28">
        <v>3196.5</v>
      </c>
      <c r="G35" s="29">
        <v>8.5828000000000007</v>
      </c>
    </row>
    <row r="36" spans="1:7" x14ac:dyDescent="0.2">
      <c r="A36" s="64" t="s">
        <v>80</v>
      </c>
      <c r="B36" s="20">
        <v>70</v>
      </c>
      <c r="C36" s="26">
        <v>400</v>
      </c>
      <c r="D36" s="27">
        <v>4.4340000000000002</v>
      </c>
      <c r="E36" s="28">
        <v>2968.2</v>
      </c>
      <c r="F36" s="28">
        <v>3278.6</v>
      </c>
      <c r="G36" s="29">
        <v>8.7086000000000006</v>
      </c>
    </row>
    <row r="37" spans="1:7" x14ac:dyDescent="0.2">
      <c r="A37" s="64" t="s">
        <v>80</v>
      </c>
      <c r="B37" s="20">
        <v>70</v>
      </c>
      <c r="C37" s="26">
        <v>440</v>
      </c>
      <c r="D37" s="27">
        <v>4.6980000000000004</v>
      </c>
      <c r="E37" s="28">
        <v>3032.9</v>
      </c>
      <c r="F37" s="28">
        <v>3361.8</v>
      </c>
      <c r="G37" s="29">
        <v>8.8285999999999998</v>
      </c>
    </row>
    <row r="38" spans="1:7" x14ac:dyDescent="0.2">
      <c r="A38" s="65" t="s">
        <v>80</v>
      </c>
      <c r="B38" s="21">
        <v>70</v>
      </c>
      <c r="C38" s="30">
        <v>500</v>
      </c>
      <c r="D38" s="31">
        <v>5.0949999999999998</v>
      </c>
      <c r="E38" s="32">
        <v>3131.8</v>
      </c>
      <c r="F38" s="32">
        <v>3488.5</v>
      </c>
      <c r="G38" s="33">
        <v>8.9991000000000003</v>
      </c>
    </row>
    <row r="39" spans="1:7" x14ac:dyDescent="0.2">
      <c r="A39" s="66">
        <v>100</v>
      </c>
      <c r="B39" s="16">
        <v>100</v>
      </c>
      <c r="C39" s="26">
        <v>99.63</v>
      </c>
      <c r="D39" s="27">
        <v>1.694</v>
      </c>
      <c r="E39" s="28">
        <v>2506.1</v>
      </c>
      <c r="F39" s="28">
        <v>2675.5</v>
      </c>
      <c r="G39" s="29">
        <v>7.3593999999999999</v>
      </c>
    </row>
    <row r="40" spans="1:7" x14ac:dyDescent="0.2">
      <c r="A40" s="66" t="s">
        <v>80</v>
      </c>
      <c r="B40" s="17">
        <v>100</v>
      </c>
      <c r="C40" s="26">
        <v>100</v>
      </c>
      <c r="D40" s="27">
        <v>1.696</v>
      </c>
      <c r="E40" s="28">
        <v>2506.6999999999998</v>
      </c>
      <c r="F40" s="28">
        <v>2676.2</v>
      </c>
      <c r="G40" s="29">
        <v>7.3613999999999997</v>
      </c>
    </row>
    <row r="41" spans="1:7" x14ac:dyDescent="0.2">
      <c r="A41" s="66" t="s">
        <v>80</v>
      </c>
      <c r="B41" s="17">
        <v>100</v>
      </c>
      <c r="C41" s="26">
        <v>120</v>
      </c>
      <c r="D41" s="27">
        <v>1.7929999999999999</v>
      </c>
      <c r="E41" s="28">
        <v>2537.3000000000002</v>
      </c>
      <c r="F41" s="28">
        <v>2716.6</v>
      </c>
      <c r="G41" s="29">
        <v>7.4668000000000001</v>
      </c>
    </row>
    <row r="42" spans="1:7" x14ac:dyDescent="0.2">
      <c r="A42" s="66" t="s">
        <v>80</v>
      </c>
      <c r="B42" s="17">
        <v>100</v>
      </c>
      <c r="C42" s="26">
        <v>160</v>
      </c>
      <c r="D42" s="27">
        <v>1.984</v>
      </c>
      <c r="E42" s="28">
        <v>2597.8000000000002</v>
      </c>
      <c r="F42" s="28">
        <v>2796.2</v>
      </c>
      <c r="G42" s="29">
        <v>7.6597</v>
      </c>
    </row>
    <row r="43" spans="1:7" x14ac:dyDescent="0.2">
      <c r="A43" s="66" t="s">
        <v>80</v>
      </c>
      <c r="B43" s="17">
        <v>100</v>
      </c>
      <c r="C43" s="26">
        <v>200</v>
      </c>
      <c r="D43" s="27">
        <v>2.1720000000000002</v>
      </c>
      <c r="E43" s="28">
        <v>2658.1</v>
      </c>
      <c r="F43" s="28">
        <v>2875.3</v>
      </c>
      <c r="G43" s="29">
        <v>7.8342999999999998</v>
      </c>
    </row>
    <row r="44" spans="1:7" x14ac:dyDescent="0.2">
      <c r="A44" s="66" t="s">
        <v>80</v>
      </c>
      <c r="B44" s="17">
        <v>100</v>
      </c>
      <c r="C44" s="26">
        <v>240</v>
      </c>
      <c r="D44" s="27">
        <v>2.359</v>
      </c>
      <c r="E44" s="28">
        <v>2718.5</v>
      </c>
      <c r="F44" s="28">
        <v>2954.5</v>
      </c>
      <c r="G44" s="29">
        <v>7.9949000000000003</v>
      </c>
    </row>
    <row r="45" spans="1:7" x14ac:dyDescent="0.2">
      <c r="A45" s="66" t="s">
        <v>80</v>
      </c>
      <c r="B45" s="17">
        <v>100</v>
      </c>
      <c r="C45" s="26">
        <v>280</v>
      </c>
      <c r="D45" s="27">
        <v>2.5459999999999998</v>
      </c>
      <c r="E45" s="28">
        <v>2779.6</v>
      </c>
      <c r="F45" s="28">
        <v>3034.2</v>
      </c>
      <c r="G45" s="29">
        <v>8.1445000000000007</v>
      </c>
    </row>
    <row r="46" spans="1:7" x14ac:dyDescent="0.2">
      <c r="A46" s="66" t="s">
        <v>80</v>
      </c>
      <c r="B46" s="17">
        <v>100</v>
      </c>
      <c r="C46" s="26">
        <v>320</v>
      </c>
      <c r="D46" s="27">
        <v>2.7320000000000002</v>
      </c>
      <c r="E46" s="28">
        <v>2841.5</v>
      </c>
      <c r="F46" s="28">
        <v>3114.6</v>
      </c>
      <c r="G46" s="29">
        <v>8.2849000000000004</v>
      </c>
    </row>
    <row r="47" spans="1:7" x14ac:dyDescent="0.2">
      <c r="A47" s="66" t="s">
        <v>80</v>
      </c>
      <c r="B47" s="17">
        <v>100</v>
      </c>
      <c r="C47" s="26">
        <v>360</v>
      </c>
      <c r="D47" s="27">
        <v>2.9169999999999998</v>
      </c>
      <c r="E47" s="28">
        <v>2904.2</v>
      </c>
      <c r="F47" s="28">
        <v>3195.9</v>
      </c>
      <c r="G47" s="29">
        <v>8.4175000000000004</v>
      </c>
    </row>
    <row r="48" spans="1:7" x14ac:dyDescent="0.2">
      <c r="A48" s="66" t="s">
        <v>80</v>
      </c>
      <c r="B48" s="17">
        <v>100</v>
      </c>
      <c r="C48" s="26">
        <v>400</v>
      </c>
      <c r="D48" s="27">
        <v>3.1030000000000002</v>
      </c>
      <c r="E48" s="28">
        <v>2967.9</v>
      </c>
      <c r="F48" s="28">
        <v>3278.2</v>
      </c>
      <c r="G48" s="29">
        <v>8.5434999999999999</v>
      </c>
    </row>
    <row r="49" spans="1:7" x14ac:dyDescent="0.2">
      <c r="A49" s="66" t="s">
        <v>80</v>
      </c>
      <c r="B49" s="17">
        <v>100</v>
      </c>
      <c r="C49" s="26">
        <v>440</v>
      </c>
      <c r="D49" s="27">
        <v>3.2879999999999998</v>
      </c>
      <c r="E49" s="28">
        <v>3032.6</v>
      </c>
      <c r="F49" s="28">
        <v>3361.4</v>
      </c>
      <c r="G49" s="29">
        <v>8.6636000000000006</v>
      </c>
    </row>
    <row r="50" spans="1:7" x14ac:dyDescent="0.2">
      <c r="A50" s="66" t="s">
        <v>80</v>
      </c>
      <c r="B50" s="18">
        <v>100</v>
      </c>
      <c r="C50" s="26">
        <v>500</v>
      </c>
      <c r="D50" s="27">
        <v>3.5649999999999999</v>
      </c>
      <c r="E50" s="28">
        <v>3131.6</v>
      </c>
      <c r="F50" s="28">
        <v>3488.1</v>
      </c>
      <c r="G50" s="29">
        <v>8.8341999999999992</v>
      </c>
    </row>
    <row r="51" spans="1:7" x14ac:dyDescent="0.2">
      <c r="A51" s="63">
        <v>150</v>
      </c>
      <c r="B51" s="19">
        <v>150</v>
      </c>
      <c r="C51" s="22">
        <v>111.37</v>
      </c>
      <c r="D51" s="23">
        <v>1.159</v>
      </c>
      <c r="E51" s="24">
        <v>2519.6999999999998</v>
      </c>
      <c r="F51" s="24">
        <v>2693.6</v>
      </c>
      <c r="G51" s="25">
        <v>7.2233000000000001</v>
      </c>
    </row>
    <row r="52" spans="1:7" x14ac:dyDescent="0.2">
      <c r="A52" s="64" t="s">
        <v>80</v>
      </c>
      <c r="B52" s="20">
        <v>150</v>
      </c>
      <c r="C52" s="26">
        <v>120</v>
      </c>
      <c r="D52" s="27">
        <v>1.1879999999999999</v>
      </c>
      <c r="E52" s="28">
        <v>2533.3000000000002</v>
      </c>
      <c r="F52" s="28">
        <v>2711.4</v>
      </c>
      <c r="G52" s="29">
        <v>7.2693000000000003</v>
      </c>
    </row>
    <row r="53" spans="1:7" x14ac:dyDescent="0.2">
      <c r="A53" s="64" t="s">
        <v>80</v>
      </c>
      <c r="B53" s="20">
        <v>150</v>
      </c>
      <c r="C53" s="26">
        <v>160</v>
      </c>
      <c r="D53" s="27">
        <v>1.3169999999999999</v>
      </c>
      <c r="E53" s="28">
        <v>2595.1999999999998</v>
      </c>
      <c r="F53" s="28">
        <v>2792.8</v>
      </c>
      <c r="G53" s="29">
        <v>7.4664999999999999</v>
      </c>
    </row>
    <row r="54" spans="1:7" x14ac:dyDescent="0.2">
      <c r="A54" s="64" t="s">
        <v>80</v>
      </c>
      <c r="B54" s="20">
        <v>150</v>
      </c>
      <c r="C54" s="26">
        <v>200</v>
      </c>
      <c r="D54" s="27">
        <v>1.444</v>
      </c>
      <c r="E54" s="28">
        <v>2656.2</v>
      </c>
      <c r="F54" s="28">
        <v>2872.9</v>
      </c>
      <c r="G54" s="29">
        <v>7.6433</v>
      </c>
    </row>
    <row r="55" spans="1:7" x14ac:dyDescent="0.2">
      <c r="A55" s="64" t="s">
        <v>80</v>
      </c>
      <c r="B55" s="20">
        <v>150</v>
      </c>
      <c r="C55" s="26">
        <v>240</v>
      </c>
      <c r="D55" s="27">
        <v>1.57</v>
      </c>
      <c r="E55" s="28">
        <v>2717.2</v>
      </c>
      <c r="F55" s="28">
        <v>2952.7</v>
      </c>
      <c r="G55" s="29">
        <v>7.8052000000000001</v>
      </c>
    </row>
    <row r="56" spans="1:7" x14ac:dyDescent="0.2">
      <c r="A56" s="64" t="s">
        <v>80</v>
      </c>
      <c r="B56" s="20">
        <v>150</v>
      </c>
      <c r="C56" s="26">
        <v>280</v>
      </c>
      <c r="D56" s="27">
        <v>1.6950000000000001</v>
      </c>
      <c r="E56" s="28">
        <v>2778.6</v>
      </c>
      <c r="F56" s="28">
        <v>3032.8</v>
      </c>
      <c r="G56" s="29">
        <v>7.9554999999999998</v>
      </c>
    </row>
    <row r="57" spans="1:7" x14ac:dyDescent="0.2">
      <c r="A57" s="64" t="s">
        <v>80</v>
      </c>
      <c r="B57" s="20">
        <v>150</v>
      </c>
      <c r="C57" s="26">
        <v>320</v>
      </c>
      <c r="D57" s="27">
        <v>1.819</v>
      </c>
      <c r="E57" s="28">
        <v>2840.6</v>
      </c>
      <c r="F57" s="28">
        <v>3113.5</v>
      </c>
      <c r="G57" s="29">
        <v>8.0963999999999992</v>
      </c>
    </row>
    <row r="58" spans="1:7" x14ac:dyDescent="0.2">
      <c r="A58" s="64" t="s">
        <v>80</v>
      </c>
      <c r="B58" s="20">
        <v>150</v>
      </c>
      <c r="C58" s="26">
        <v>360</v>
      </c>
      <c r="D58" s="27">
        <v>1.9430000000000001</v>
      </c>
      <c r="E58" s="28">
        <v>2903.5</v>
      </c>
      <c r="F58" s="28">
        <v>3195</v>
      </c>
      <c r="G58" s="29">
        <v>8.2293000000000003</v>
      </c>
    </row>
    <row r="59" spans="1:7" x14ac:dyDescent="0.2">
      <c r="A59" s="64" t="s">
        <v>80</v>
      </c>
      <c r="B59" s="20">
        <v>150</v>
      </c>
      <c r="C59" s="26">
        <v>400</v>
      </c>
      <c r="D59" s="27">
        <v>2.0670000000000002</v>
      </c>
      <c r="E59" s="28">
        <v>2967.3</v>
      </c>
      <c r="F59" s="28">
        <v>3277.4</v>
      </c>
      <c r="G59" s="29">
        <v>8.3554999999999993</v>
      </c>
    </row>
    <row r="60" spans="1:7" x14ac:dyDescent="0.2">
      <c r="A60" s="64" t="s">
        <v>80</v>
      </c>
      <c r="B60" s="20">
        <v>150</v>
      </c>
      <c r="C60" s="26">
        <v>440</v>
      </c>
      <c r="D60" s="27">
        <v>2.1909999999999998</v>
      </c>
      <c r="E60" s="28">
        <v>3032.1</v>
      </c>
      <c r="F60" s="28">
        <v>3360.7</v>
      </c>
      <c r="G60" s="29">
        <v>8.4756999999999998</v>
      </c>
    </row>
    <row r="61" spans="1:7" x14ac:dyDescent="0.2">
      <c r="A61" s="64" t="s">
        <v>80</v>
      </c>
      <c r="B61" s="20">
        <v>150</v>
      </c>
      <c r="C61" s="26">
        <v>500</v>
      </c>
      <c r="D61" s="27">
        <v>2.3759999999999999</v>
      </c>
      <c r="E61" s="28">
        <v>3131.2</v>
      </c>
      <c r="F61" s="28">
        <v>3487.6</v>
      </c>
      <c r="G61" s="29">
        <v>8.6465999999999994</v>
      </c>
    </row>
    <row r="62" spans="1:7" x14ac:dyDescent="0.2">
      <c r="A62" s="65" t="s">
        <v>80</v>
      </c>
      <c r="B62" s="21">
        <v>150</v>
      </c>
      <c r="C62" s="30">
        <v>600</v>
      </c>
      <c r="D62" s="31">
        <v>2.6850000000000001</v>
      </c>
      <c r="E62" s="32">
        <v>3301.7</v>
      </c>
      <c r="F62" s="32">
        <v>3704.3</v>
      </c>
      <c r="G62" s="33">
        <v>8.9100999999999999</v>
      </c>
    </row>
    <row r="63" spans="1:7" x14ac:dyDescent="0.2">
      <c r="A63" s="66">
        <v>300</v>
      </c>
      <c r="B63" s="16">
        <v>300</v>
      </c>
      <c r="C63" s="26">
        <v>133.55000000000001</v>
      </c>
      <c r="D63" s="27">
        <v>0.60599999999999998</v>
      </c>
      <c r="E63" s="28">
        <v>2543.6</v>
      </c>
      <c r="F63" s="28">
        <v>2725.3</v>
      </c>
      <c r="G63" s="29">
        <v>6.9919000000000002</v>
      </c>
    </row>
    <row r="64" spans="1:7" x14ac:dyDescent="0.2">
      <c r="A64" s="66" t="s">
        <v>80</v>
      </c>
      <c r="B64" s="17">
        <v>300</v>
      </c>
      <c r="C64" s="26">
        <v>160</v>
      </c>
      <c r="D64" s="27">
        <v>0.65100000000000002</v>
      </c>
      <c r="E64" s="28">
        <v>2587.1</v>
      </c>
      <c r="F64" s="28">
        <v>2782.3</v>
      </c>
      <c r="G64" s="29">
        <v>7.1276000000000002</v>
      </c>
    </row>
    <row r="65" spans="1:7" x14ac:dyDescent="0.2">
      <c r="A65" s="66" t="s">
        <v>80</v>
      </c>
      <c r="B65" s="17">
        <v>300</v>
      </c>
      <c r="C65" s="26">
        <v>200</v>
      </c>
      <c r="D65" s="27">
        <v>0.71599999999999997</v>
      </c>
      <c r="E65" s="28">
        <v>2650.7</v>
      </c>
      <c r="F65" s="28">
        <v>2865.5</v>
      </c>
      <c r="G65" s="29">
        <v>7.3114999999999997</v>
      </c>
    </row>
    <row r="66" spans="1:7" x14ac:dyDescent="0.2">
      <c r="A66" s="66" t="s">
        <v>80</v>
      </c>
      <c r="B66" s="17">
        <v>300</v>
      </c>
      <c r="C66" s="26">
        <v>240</v>
      </c>
      <c r="D66" s="27">
        <v>0.78100000000000003</v>
      </c>
      <c r="E66" s="28">
        <v>2713.1</v>
      </c>
      <c r="F66" s="28">
        <v>2947.3</v>
      </c>
      <c r="G66" s="29">
        <v>7.4774000000000003</v>
      </c>
    </row>
    <row r="67" spans="1:7" x14ac:dyDescent="0.2">
      <c r="A67" s="66" t="s">
        <v>80</v>
      </c>
      <c r="B67" s="17">
        <v>300</v>
      </c>
      <c r="C67" s="26">
        <v>280</v>
      </c>
      <c r="D67" s="27">
        <v>0.84399999999999997</v>
      </c>
      <c r="E67" s="28">
        <v>2775.4</v>
      </c>
      <c r="F67" s="28">
        <v>3028.6</v>
      </c>
      <c r="G67" s="29">
        <v>7.6299000000000001</v>
      </c>
    </row>
    <row r="68" spans="1:7" x14ac:dyDescent="0.2">
      <c r="A68" s="66" t="s">
        <v>80</v>
      </c>
      <c r="B68" s="17">
        <v>300</v>
      </c>
      <c r="C68" s="26">
        <v>320</v>
      </c>
      <c r="D68" s="27">
        <v>0.90700000000000003</v>
      </c>
      <c r="E68" s="28">
        <v>2838.1</v>
      </c>
      <c r="F68" s="28">
        <v>3110.1</v>
      </c>
      <c r="G68" s="29">
        <v>7.7721999999999998</v>
      </c>
    </row>
    <row r="69" spans="1:7" x14ac:dyDescent="0.2">
      <c r="A69" s="66" t="s">
        <v>80</v>
      </c>
      <c r="B69" s="17">
        <v>300</v>
      </c>
      <c r="C69" s="26">
        <v>360</v>
      </c>
      <c r="D69" s="27">
        <v>0.96899999999999997</v>
      </c>
      <c r="E69" s="28">
        <v>2901.4</v>
      </c>
      <c r="F69" s="28">
        <v>3192.2</v>
      </c>
      <c r="G69" s="29">
        <v>7.9061000000000003</v>
      </c>
    </row>
    <row r="70" spans="1:7" x14ac:dyDescent="0.2">
      <c r="A70" s="66" t="s">
        <v>80</v>
      </c>
      <c r="B70" s="17">
        <v>300</v>
      </c>
      <c r="C70" s="26">
        <v>400</v>
      </c>
      <c r="D70" s="27">
        <v>1.032</v>
      </c>
      <c r="E70" s="28">
        <v>2965.6</v>
      </c>
      <c r="F70" s="28">
        <v>3275</v>
      </c>
      <c r="G70" s="29">
        <v>8.0329999999999995</v>
      </c>
    </row>
    <row r="71" spans="1:7" x14ac:dyDescent="0.2">
      <c r="A71" s="66" t="s">
        <v>80</v>
      </c>
      <c r="B71" s="17">
        <v>300</v>
      </c>
      <c r="C71" s="26">
        <v>440</v>
      </c>
      <c r="D71" s="27">
        <v>1.0940000000000001</v>
      </c>
      <c r="E71" s="28">
        <v>3030.6</v>
      </c>
      <c r="F71" s="28">
        <v>3358.7</v>
      </c>
      <c r="G71" s="29">
        <v>8.1538000000000004</v>
      </c>
    </row>
    <row r="72" spans="1:7" x14ac:dyDescent="0.2">
      <c r="A72" s="66" t="s">
        <v>80</v>
      </c>
      <c r="B72" s="17">
        <v>300</v>
      </c>
      <c r="C72" s="26">
        <v>500</v>
      </c>
      <c r="D72" s="27">
        <v>1.1870000000000001</v>
      </c>
      <c r="E72" s="28">
        <v>3130</v>
      </c>
      <c r="F72" s="28">
        <v>3486</v>
      </c>
      <c r="G72" s="29">
        <v>8.3251000000000008</v>
      </c>
    </row>
    <row r="73" spans="1:7" x14ac:dyDescent="0.2">
      <c r="A73" s="66" t="s">
        <v>80</v>
      </c>
      <c r="B73" s="18">
        <v>300</v>
      </c>
      <c r="C73" s="26">
        <v>600</v>
      </c>
      <c r="D73" s="27">
        <v>1.341</v>
      </c>
      <c r="E73" s="28">
        <v>3300.8</v>
      </c>
      <c r="F73" s="28">
        <v>3703.2</v>
      </c>
      <c r="G73" s="29">
        <v>8.5891999999999999</v>
      </c>
    </row>
    <row r="74" spans="1:7" x14ac:dyDescent="0.2">
      <c r="A74" s="63">
        <v>500</v>
      </c>
      <c r="B74" s="19">
        <v>500</v>
      </c>
      <c r="C74" s="22">
        <v>151.86000000000001</v>
      </c>
      <c r="D74" s="23">
        <v>0.37490000000000001</v>
      </c>
      <c r="E74" s="24">
        <v>2561.1999999999998</v>
      </c>
      <c r="F74" s="24">
        <v>2748.7</v>
      </c>
      <c r="G74" s="25">
        <v>6.8212999999999999</v>
      </c>
    </row>
    <row r="75" spans="1:7" x14ac:dyDescent="0.2">
      <c r="A75" s="64" t="s">
        <v>80</v>
      </c>
      <c r="B75" s="20">
        <v>500</v>
      </c>
      <c r="C75" s="26">
        <v>180</v>
      </c>
      <c r="D75" s="27">
        <v>0.40450000000000003</v>
      </c>
      <c r="E75" s="28">
        <v>2609.6999999999998</v>
      </c>
      <c r="F75" s="28">
        <v>2812</v>
      </c>
      <c r="G75" s="29">
        <v>6.9656000000000002</v>
      </c>
    </row>
    <row r="76" spans="1:7" x14ac:dyDescent="0.2">
      <c r="A76" s="64" t="s">
        <v>80</v>
      </c>
      <c r="B76" s="20">
        <v>500</v>
      </c>
      <c r="C76" s="26">
        <v>200</v>
      </c>
      <c r="D76" s="27">
        <v>0.4249</v>
      </c>
      <c r="E76" s="28">
        <v>2642.9</v>
      </c>
      <c r="F76" s="28">
        <v>2855.4</v>
      </c>
      <c r="G76" s="29">
        <v>7.0591999999999997</v>
      </c>
    </row>
    <row r="77" spans="1:7" x14ac:dyDescent="0.2">
      <c r="A77" s="64" t="s">
        <v>80</v>
      </c>
      <c r="B77" s="20">
        <v>500</v>
      </c>
      <c r="C77" s="26">
        <v>240</v>
      </c>
      <c r="D77" s="27">
        <v>0.46460000000000001</v>
      </c>
      <c r="E77" s="28">
        <v>2707.6</v>
      </c>
      <c r="F77" s="28">
        <v>2939.9</v>
      </c>
      <c r="G77" s="29">
        <v>7.2306999999999997</v>
      </c>
    </row>
    <row r="78" spans="1:7" x14ac:dyDescent="0.2">
      <c r="A78" s="64" t="s">
        <v>80</v>
      </c>
      <c r="B78" s="20">
        <v>500</v>
      </c>
      <c r="C78" s="26">
        <v>280</v>
      </c>
      <c r="D78" s="27">
        <v>0.50339999999999996</v>
      </c>
      <c r="E78" s="28">
        <v>2771.2</v>
      </c>
      <c r="F78" s="28">
        <v>3022.9</v>
      </c>
      <c r="G78" s="29">
        <v>7.3864999999999998</v>
      </c>
    </row>
    <row r="79" spans="1:7" x14ac:dyDescent="0.2">
      <c r="A79" s="64" t="s">
        <v>80</v>
      </c>
      <c r="B79" s="20">
        <v>500</v>
      </c>
      <c r="C79" s="26">
        <v>320</v>
      </c>
      <c r="D79" s="27">
        <v>0.54159999999999997</v>
      </c>
      <c r="E79" s="28">
        <v>2834.7</v>
      </c>
      <c r="F79" s="28">
        <v>3105.6</v>
      </c>
      <c r="G79" s="29">
        <v>7.5308000000000002</v>
      </c>
    </row>
    <row r="80" spans="1:7" x14ac:dyDescent="0.2">
      <c r="A80" s="64" t="s">
        <v>80</v>
      </c>
      <c r="B80" s="20">
        <v>500</v>
      </c>
      <c r="C80" s="26">
        <v>360</v>
      </c>
      <c r="D80" s="27">
        <v>0.5796</v>
      </c>
      <c r="E80" s="28">
        <v>2898.7</v>
      </c>
      <c r="F80" s="28">
        <v>3188.4</v>
      </c>
      <c r="G80" s="29">
        <v>7.6660000000000004</v>
      </c>
    </row>
    <row r="81" spans="1:7" x14ac:dyDescent="0.2">
      <c r="A81" s="64" t="s">
        <v>80</v>
      </c>
      <c r="B81" s="20">
        <v>500</v>
      </c>
      <c r="C81" s="26">
        <v>400</v>
      </c>
      <c r="D81" s="27">
        <v>0.61729999999999996</v>
      </c>
      <c r="E81" s="28">
        <v>2963.2</v>
      </c>
      <c r="F81" s="28">
        <v>3271.9</v>
      </c>
      <c r="G81" s="29">
        <v>7.7938000000000001</v>
      </c>
    </row>
    <row r="82" spans="1:7" x14ac:dyDescent="0.2">
      <c r="A82" s="64" t="s">
        <v>80</v>
      </c>
      <c r="B82" s="20">
        <v>500</v>
      </c>
      <c r="C82" s="26">
        <v>440</v>
      </c>
      <c r="D82" s="27">
        <v>0.65480000000000005</v>
      </c>
      <c r="E82" s="28">
        <v>3028.6</v>
      </c>
      <c r="F82" s="28">
        <v>3356</v>
      </c>
      <c r="G82" s="29">
        <v>7.9151999999999996</v>
      </c>
    </row>
    <row r="83" spans="1:7" x14ac:dyDescent="0.2">
      <c r="A83" s="64" t="s">
        <v>80</v>
      </c>
      <c r="B83" s="20">
        <v>500</v>
      </c>
      <c r="C83" s="26">
        <v>500</v>
      </c>
      <c r="D83" s="27">
        <v>0.71089999999999998</v>
      </c>
      <c r="E83" s="28">
        <v>3128.4</v>
      </c>
      <c r="F83" s="28">
        <v>3483.9</v>
      </c>
      <c r="G83" s="29">
        <v>8.0873000000000008</v>
      </c>
    </row>
    <row r="84" spans="1:7" x14ac:dyDescent="0.2">
      <c r="A84" s="64" t="s">
        <v>80</v>
      </c>
      <c r="B84" s="20">
        <v>500</v>
      </c>
      <c r="C84" s="26">
        <v>600</v>
      </c>
      <c r="D84" s="27">
        <v>0.80410000000000004</v>
      </c>
      <c r="E84" s="28">
        <v>3299.6</v>
      </c>
      <c r="F84" s="28">
        <v>3701.7</v>
      </c>
      <c r="G84" s="29">
        <v>8.3521999999999998</v>
      </c>
    </row>
    <row r="85" spans="1:7" x14ac:dyDescent="0.2">
      <c r="A85" s="65" t="s">
        <v>80</v>
      </c>
      <c r="B85" s="21">
        <v>500</v>
      </c>
      <c r="C85" s="30">
        <v>700</v>
      </c>
      <c r="D85" s="31">
        <v>0.89690000000000003</v>
      </c>
      <c r="E85" s="32">
        <v>3477.5</v>
      </c>
      <c r="F85" s="32">
        <v>3925.9</v>
      </c>
      <c r="G85" s="33">
        <v>8.5952000000000002</v>
      </c>
    </row>
    <row r="86" spans="1:7" x14ac:dyDescent="0.2">
      <c r="A86" s="66">
        <v>700</v>
      </c>
      <c r="B86" s="16">
        <v>700</v>
      </c>
      <c r="C86" s="26">
        <v>164.97</v>
      </c>
      <c r="D86" s="27">
        <v>0.27289999999999998</v>
      </c>
      <c r="E86" s="28">
        <v>2572.5</v>
      </c>
      <c r="F86" s="28">
        <v>2763.5</v>
      </c>
      <c r="G86" s="29">
        <v>6.7080000000000002</v>
      </c>
    </row>
    <row r="87" spans="1:7" x14ac:dyDescent="0.2">
      <c r="A87" s="66" t="s">
        <v>80</v>
      </c>
      <c r="B87" s="17">
        <v>700</v>
      </c>
      <c r="C87" s="26">
        <v>180</v>
      </c>
      <c r="D87" s="27">
        <v>0.28470000000000001</v>
      </c>
      <c r="E87" s="28">
        <v>2599.8000000000002</v>
      </c>
      <c r="F87" s="28">
        <v>2799.1</v>
      </c>
      <c r="G87" s="29">
        <v>6.7880000000000003</v>
      </c>
    </row>
    <row r="88" spans="1:7" x14ac:dyDescent="0.2">
      <c r="A88" s="66" t="s">
        <v>80</v>
      </c>
      <c r="B88" s="17">
        <v>700</v>
      </c>
      <c r="C88" s="26">
        <v>200</v>
      </c>
      <c r="D88" s="27">
        <v>0.2999</v>
      </c>
      <c r="E88" s="28">
        <v>2634.8</v>
      </c>
      <c r="F88" s="28">
        <v>2844.8</v>
      </c>
      <c r="G88" s="29">
        <v>6.8864999999999998</v>
      </c>
    </row>
    <row r="89" spans="1:7" x14ac:dyDescent="0.2">
      <c r="A89" s="66" t="s">
        <v>80</v>
      </c>
      <c r="B89" s="17">
        <v>700</v>
      </c>
      <c r="C89" s="26">
        <v>240</v>
      </c>
      <c r="D89" s="27">
        <v>0.32919999999999999</v>
      </c>
      <c r="E89" s="28">
        <v>2701.8</v>
      </c>
      <c r="F89" s="28">
        <v>2932.2</v>
      </c>
      <c r="G89" s="29">
        <v>7.0640999999999998</v>
      </c>
    </row>
    <row r="90" spans="1:7" x14ac:dyDescent="0.2">
      <c r="A90" s="66" t="s">
        <v>80</v>
      </c>
      <c r="B90" s="17">
        <v>700</v>
      </c>
      <c r="C90" s="26">
        <v>280</v>
      </c>
      <c r="D90" s="27">
        <v>0.3574</v>
      </c>
      <c r="E90" s="28">
        <v>2766.9</v>
      </c>
      <c r="F90" s="28">
        <v>3017.1</v>
      </c>
      <c r="G90" s="29">
        <v>7.2233000000000001</v>
      </c>
    </row>
    <row r="91" spans="1:7" x14ac:dyDescent="0.2">
      <c r="A91" s="66" t="s">
        <v>80</v>
      </c>
      <c r="B91" s="17">
        <v>700</v>
      </c>
      <c r="C91" s="26">
        <v>320</v>
      </c>
      <c r="D91" s="27">
        <v>0.38519999999999999</v>
      </c>
      <c r="E91" s="28">
        <v>2831.3</v>
      </c>
      <c r="F91" s="28">
        <v>3100.9</v>
      </c>
      <c r="G91" s="29">
        <v>7.3696999999999999</v>
      </c>
    </row>
    <row r="92" spans="1:7" x14ac:dyDescent="0.2">
      <c r="A92" s="66" t="s">
        <v>80</v>
      </c>
      <c r="B92" s="17">
        <v>700</v>
      </c>
      <c r="C92" s="26">
        <v>360</v>
      </c>
      <c r="D92" s="27">
        <v>0.41260000000000002</v>
      </c>
      <c r="E92" s="28">
        <v>2895.8</v>
      </c>
      <c r="F92" s="28">
        <v>3184.7</v>
      </c>
      <c r="G92" s="29">
        <v>7.5063000000000004</v>
      </c>
    </row>
    <row r="93" spans="1:7" x14ac:dyDescent="0.2">
      <c r="A93" s="66" t="s">
        <v>80</v>
      </c>
      <c r="B93" s="17">
        <v>700</v>
      </c>
      <c r="C93" s="26">
        <v>400</v>
      </c>
      <c r="D93" s="27">
        <v>0.43969999999999998</v>
      </c>
      <c r="E93" s="28">
        <v>2960.9</v>
      </c>
      <c r="F93" s="28">
        <v>3268.7</v>
      </c>
      <c r="G93" s="29">
        <v>7.6349999999999998</v>
      </c>
    </row>
    <row r="94" spans="1:7" x14ac:dyDescent="0.2">
      <c r="A94" s="66" t="s">
        <v>80</v>
      </c>
      <c r="B94" s="17">
        <v>700</v>
      </c>
      <c r="C94" s="26">
        <v>440</v>
      </c>
      <c r="D94" s="27">
        <v>0.4667</v>
      </c>
      <c r="E94" s="28">
        <v>3026.6</v>
      </c>
      <c r="F94" s="28">
        <v>3353.3</v>
      </c>
      <c r="G94" s="29">
        <v>7.7571000000000003</v>
      </c>
    </row>
    <row r="95" spans="1:7" x14ac:dyDescent="0.2">
      <c r="A95" s="66" t="s">
        <v>80</v>
      </c>
      <c r="B95" s="17">
        <v>700</v>
      </c>
      <c r="C95" s="26">
        <v>500</v>
      </c>
      <c r="D95" s="27">
        <v>0.50700000000000001</v>
      </c>
      <c r="E95" s="28">
        <v>3126.8</v>
      </c>
      <c r="F95" s="28">
        <v>3481.7</v>
      </c>
      <c r="G95" s="29">
        <v>7.9298999999999999</v>
      </c>
    </row>
    <row r="96" spans="1:7" x14ac:dyDescent="0.2">
      <c r="A96" s="66" t="s">
        <v>80</v>
      </c>
      <c r="B96" s="17">
        <v>700</v>
      </c>
      <c r="C96" s="26">
        <v>600</v>
      </c>
      <c r="D96" s="27">
        <v>0.57379999999999998</v>
      </c>
      <c r="E96" s="28">
        <v>3298.5</v>
      </c>
      <c r="F96" s="28">
        <v>3700.2</v>
      </c>
      <c r="G96" s="29">
        <v>8.1956000000000007</v>
      </c>
    </row>
    <row r="97" spans="1:7" x14ac:dyDescent="0.2">
      <c r="A97" s="66" t="s">
        <v>80</v>
      </c>
      <c r="B97" s="18">
        <v>700</v>
      </c>
      <c r="C97" s="26">
        <v>700</v>
      </c>
      <c r="D97" s="27">
        <v>0.64029999999999998</v>
      </c>
      <c r="E97" s="28">
        <v>3476.6</v>
      </c>
      <c r="F97" s="28">
        <v>3924.8</v>
      </c>
      <c r="G97" s="29">
        <v>8.4390999999999998</v>
      </c>
    </row>
    <row r="98" spans="1:7" x14ac:dyDescent="0.2">
      <c r="A98" s="63">
        <v>1000</v>
      </c>
      <c r="B98" s="19">
        <v>1000</v>
      </c>
      <c r="C98" s="22">
        <v>179.91</v>
      </c>
      <c r="D98" s="23">
        <v>0.19439999999999999</v>
      </c>
      <c r="E98" s="24">
        <v>2583.6</v>
      </c>
      <c r="F98" s="24">
        <v>2778.1</v>
      </c>
      <c r="G98" s="25">
        <v>6.5865</v>
      </c>
    </row>
    <row r="99" spans="1:7" x14ac:dyDescent="0.2">
      <c r="A99" s="64" t="s">
        <v>80</v>
      </c>
      <c r="B99" s="20">
        <v>1000</v>
      </c>
      <c r="C99" s="26">
        <v>200</v>
      </c>
      <c r="D99" s="27">
        <v>0.20599999999999999</v>
      </c>
      <c r="E99" s="28">
        <v>2621.9</v>
      </c>
      <c r="F99" s="28">
        <v>2827.9</v>
      </c>
      <c r="G99" s="29">
        <v>6.694</v>
      </c>
    </row>
    <row r="100" spans="1:7" x14ac:dyDescent="0.2">
      <c r="A100" s="64" t="s">
        <v>80</v>
      </c>
      <c r="B100" s="20">
        <v>1000</v>
      </c>
      <c r="C100" s="26">
        <v>240</v>
      </c>
      <c r="D100" s="27">
        <v>0.22750000000000001</v>
      </c>
      <c r="E100" s="28">
        <v>2692.9</v>
      </c>
      <c r="F100" s="28">
        <v>2920.4</v>
      </c>
      <c r="G100" s="29">
        <v>6.8817000000000004</v>
      </c>
    </row>
    <row r="101" spans="1:7" x14ac:dyDescent="0.2">
      <c r="A101" s="64" t="s">
        <v>80</v>
      </c>
      <c r="B101" s="20">
        <v>1000</v>
      </c>
      <c r="C101" s="26">
        <v>280</v>
      </c>
      <c r="D101" s="27">
        <v>0.248</v>
      </c>
      <c r="E101" s="28">
        <v>2760.2</v>
      </c>
      <c r="F101" s="28">
        <v>3008.2</v>
      </c>
      <c r="G101" s="29">
        <v>7.0465</v>
      </c>
    </row>
    <row r="102" spans="1:7" x14ac:dyDescent="0.2">
      <c r="A102" s="64" t="s">
        <v>80</v>
      </c>
      <c r="B102" s="20">
        <v>1000</v>
      </c>
      <c r="C102" s="26">
        <v>320</v>
      </c>
      <c r="D102" s="27">
        <v>0.26779999999999998</v>
      </c>
      <c r="E102" s="28">
        <v>2826.1</v>
      </c>
      <c r="F102" s="28">
        <v>3093.9</v>
      </c>
      <c r="G102" s="29">
        <v>7.1962000000000002</v>
      </c>
    </row>
    <row r="103" spans="1:7" x14ac:dyDescent="0.2">
      <c r="A103" s="64" t="s">
        <v>80</v>
      </c>
      <c r="B103" s="20">
        <v>1000</v>
      </c>
      <c r="C103" s="26">
        <v>360</v>
      </c>
      <c r="D103" s="27">
        <v>0.2873</v>
      </c>
      <c r="E103" s="28">
        <v>2891.6</v>
      </c>
      <c r="F103" s="28">
        <v>3178.9</v>
      </c>
      <c r="G103" s="29">
        <v>7.3349000000000002</v>
      </c>
    </row>
    <row r="104" spans="1:7" x14ac:dyDescent="0.2">
      <c r="A104" s="64" t="s">
        <v>80</v>
      </c>
      <c r="B104" s="20">
        <v>1000</v>
      </c>
      <c r="C104" s="26">
        <v>400</v>
      </c>
      <c r="D104" s="27">
        <v>0.30659999999999998</v>
      </c>
      <c r="E104" s="28">
        <v>2957.3</v>
      </c>
      <c r="F104" s="28">
        <v>3263.9</v>
      </c>
      <c r="G104" s="29">
        <v>7.4650999999999996</v>
      </c>
    </row>
    <row r="105" spans="1:7" x14ac:dyDescent="0.2">
      <c r="A105" s="64" t="s">
        <v>80</v>
      </c>
      <c r="B105" s="20">
        <v>1000</v>
      </c>
      <c r="C105" s="26">
        <v>440</v>
      </c>
      <c r="D105" s="27">
        <v>0.32569999999999999</v>
      </c>
      <c r="E105" s="28">
        <v>3023.6</v>
      </c>
      <c r="F105" s="28">
        <v>3349.3</v>
      </c>
      <c r="G105" s="29">
        <v>7.5883000000000003</v>
      </c>
    </row>
    <row r="106" spans="1:7" x14ac:dyDescent="0.2">
      <c r="A106" s="64" t="s">
        <v>80</v>
      </c>
      <c r="B106" s="20">
        <v>1000</v>
      </c>
      <c r="C106" s="26">
        <v>500</v>
      </c>
      <c r="D106" s="27">
        <v>0.35410000000000003</v>
      </c>
      <c r="E106" s="28">
        <v>3124.4</v>
      </c>
      <c r="F106" s="28">
        <v>3478.5</v>
      </c>
      <c r="G106" s="29">
        <v>7.7622</v>
      </c>
    </row>
    <row r="107" spans="1:7" x14ac:dyDescent="0.2">
      <c r="A107" s="64" t="s">
        <v>80</v>
      </c>
      <c r="B107" s="20">
        <v>1000</v>
      </c>
      <c r="C107" s="26">
        <v>540</v>
      </c>
      <c r="D107" s="27">
        <v>0.37290000000000001</v>
      </c>
      <c r="E107" s="28">
        <v>3192.6</v>
      </c>
      <c r="F107" s="28">
        <v>3565.6</v>
      </c>
      <c r="G107" s="29">
        <v>7.8719999999999999</v>
      </c>
    </row>
    <row r="108" spans="1:7" x14ac:dyDescent="0.2">
      <c r="A108" s="64" t="s">
        <v>80</v>
      </c>
      <c r="B108" s="20">
        <v>1000</v>
      </c>
      <c r="C108" s="26">
        <v>600</v>
      </c>
      <c r="D108" s="27">
        <v>0.40110000000000001</v>
      </c>
      <c r="E108" s="28">
        <v>3296.8</v>
      </c>
      <c r="F108" s="28">
        <v>3697.9</v>
      </c>
      <c r="G108" s="29">
        <v>8.0289999999999999</v>
      </c>
    </row>
    <row r="109" spans="1:7" x14ac:dyDescent="0.2">
      <c r="A109" s="65" t="s">
        <v>80</v>
      </c>
      <c r="B109" s="21">
        <v>1000</v>
      </c>
      <c r="C109" s="30">
        <v>640</v>
      </c>
      <c r="D109" s="31">
        <v>0.41980000000000001</v>
      </c>
      <c r="E109" s="32">
        <v>3367.4</v>
      </c>
      <c r="F109" s="32">
        <v>3787.2</v>
      </c>
      <c r="G109" s="33">
        <v>8.1289999999999996</v>
      </c>
    </row>
    <row r="110" spans="1:7" x14ac:dyDescent="0.2">
      <c r="A110" s="66">
        <v>1500</v>
      </c>
      <c r="B110" s="16">
        <v>1500</v>
      </c>
      <c r="C110" s="26">
        <v>198.32</v>
      </c>
      <c r="D110" s="27">
        <v>0.1318</v>
      </c>
      <c r="E110" s="28">
        <v>2594.5</v>
      </c>
      <c r="F110" s="28">
        <v>2792.2</v>
      </c>
      <c r="G110" s="29">
        <v>6.4447999999999999</v>
      </c>
    </row>
    <row r="111" spans="1:7" x14ac:dyDescent="0.2">
      <c r="A111" s="66" t="s">
        <v>80</v>
      </c>
      <c r="B111" s="17">
        <v>1500</v>
      </c>
      <c r="C111" s="26">
        <v>200</v>
      </c>
      <c r="D111" s="27">
        <v>0.13250000000000001</v>
      </c>
      <c r="E111" s="28">
        <v>2598.1</v>
      </c>
      <c r="F111" s="28">
        <v>2796.8</v>
      </c>
      <c r="G111" s="29">
        <v>6.4546000000000001</v>
      </c>
    </row>
    <row r="112" spans="1:7" x14ac:dyDescent="0.2">
      <c r="A112" s="66" t="s">
        <v>80</v>
      </c>
      <c r="B112" s="17">
        <v>1500</v>
      </c>
      <c r="C112" s="26">
        <v>240</v>
      </c>
      <c r="D112" s="27">
        <v>0.14829999999999999</v>
      </c>
      <c r="E112" s="28">
        <v>2676.9</v>
      </c>
      <c r="F112" s="28">
        <v>2899.3</v>
      </c>
      <c r="G112" s="29">
        <v>6.6627999999999998</v>
      </c>
    </row>
    <row r="113" spans="1:7" x14ac:dyDescent="0.2">
      <c r="A113" s="66" t="s">
        <v>80</v>
      </c>
      <c r="B113" s="17">
        <v>1500</v>
      </c>
      <c r="C113" s="26">
        <v>280</v>
      </c>
      <c r="D113" s="27">
        <v>0.16270000000000001</v>
      </c>
      <c r="E113" s="28">
        <v>2748.6</v>
      </c>
      <c r="F113" s="28">
        <v>2992.7</v>
      </c>
      <c r="G113" s="29">
        <v>6.8380999999999998</v>
      </c>
    </row>
    <row r="114" spans="1:7" x14ac:dyDescent="0.2">
      <c r="A114" s="66" t="s">
        <v>80</v>
      </c>
      <c r="B114" s="17">
        <v>1500</v>
      </c>
      <c r="C114" s="26">
        <v>320</v>
      </c>
      <c r="D114" s="27">
        <v>0.17649999999999999</v>
      </c>
      <c r="E114" s="28">
        <v>2817.1</v>
      </c>
      <c r="F114" s="28">
        <v>3081.9</v>
      </c>
      <c r="G114" s="29">
        <v>6.9938000000000002</v>
      </c>
    </row>
    <row r="115" spans="1:7" x14ac:dyDescent="0.2">
      <c r="A115" s="66" t="s">
        <v>80</v>
      </c>
      <c r="B115" s="17">
        <v>1500</v>
      </c>
      <c r="C115" s="26">
        <v>360</v>
      </c>
      <c r="D115" s="27">
        <v>0.18990000000000001</v>
      </c>
      <c r="E115" s="28">
        <v>2884.4</v>
      </c>
      <c r="F115" s="28">
        <v>3169.2</v>
      </c>
      <c r="G115" s="29">
        <v>7.1363000000000003</v>
      </c>
    </row>
    <row r="116" spans="1:7" x14ac:dyDescent="0.2">
      <c r="A116" s="66" t="s">
        <v>80</v>
      </c>
      <c r="B116" s="17">
        <v>1500</v>
      </c>
      <c r="C116" s="26">
        <v>400</v>
      </c>
      <c r="D116" s="27">
        <v>0.20300000000000001</v>
      </c>
      <c r="E116" s="28">
        <v>2951.3</v>
      </c>
      <c r="F116" s="28">
        <v>3255.8</v>
      </c>
      <c r="G116" s="29">
        <v>7.2690000000000001</v>
      </c>
    </row>
    <row r="117" spans="1:7" x14ac:dyDescent="0.2">
      <c r="A117" s="66" t="s">
        <v>80</v>
      </c>
      <c r="B117" s="17">
        <v>1500</v>
      </c>
      <c r="C117" s="26">
        <v>440</v>
      </c>
      <c r="D117" s="27">
        <v>0.216</v>
      </c>
      <c r="E117" s="28">
        <v>3018.5</v>
      </c>
      <c r="F117" s="28">
        <v>3342.5</v>
      </c>
      <c r="G117" s="29">
        <v>7.3940000000000001</v>
      </c>
    </row>
    <row r="118" spans="1:7" x14ac:dyDescent="0.2">
      <c r="A118" s="66" t="s">
        <v>80</v>
      </c>
      <c r="B118" s="17">
        <v>1500</v>
      </c>
      <c r="C118" s="26">
        <v>500</v>
      </c>
      <c r="D118" s="27">
        <v>0.23519999999999999</v>
      </c>
      <c r="E118" s="28">
        <v>3120.3</v>
      </c>
      <c r="F118" s="28">
        <v>3473.1</v>
      </c>
      <c r="G118" s="29">
        <v>7.5697999999999999</v>
      </c>
    </row>
    <row r="119" spans="1:7" x14ac:dyDescent="0.2">
      <c r="A119" s="66" t="s">
        <v>80</v>
      </c>
      <c r="B119" s="17">
        <v>1500</v>
      </c>
      <c r="C119" s="26">
        <v>540</v>
      </c>
      <c r="D119" s="27">
        <v>0.24779999999999999</v>
      </c>
      <c r="E119" s="28">
        <v>3189.1</v>
      </c>
      <c r="F119" s="28">
        <v>3560.9</v>
      </c>
      <c r="G119" s="29">
        <v>7.6805000000000003</v>
      </c>
    </row>
    <row r="120" spans="1:7" x14ac:dyDescent="0.2">
      <c r="A120" s="66" t="s">
        <v>80</v>
      </c>
      <c r="B120" s="17">
        <v>1500</v>
      </c>
      <c r="C120" s="26">
        <v>600</v>
      </c>
      <c r="D120" s="27">
        <v>0.26679999999999998</v>
      </c>
      <c r="E120" s="28">
        <v>3293.9</v>
      </c>
      <c r="F120" s="28">
        <v>3694</v>
      </c>
      <c r="G120" s="29">
        <v>7.8384999999999998</v>
      </c>
    </row>
    <row r="121" spans="1:7" x14ac:dyDescent="0.2">
      <c r="A121" s="66" t="s">
        <v>80</v>
      </c>
      <c r="B121" s="18">
        <v>1500</v>
      </c>
      <c r="C121" s="26">
        <v>640</v>
      </c>
      <c r="D121" s="27">
        <v>0.27929999999999999</v>
      </c>
      <c r="E121" s="28">
        <v>3364.8</v>
      </c>
      <c r="F121" s="28">
        <v>3783.8</v>
      </c>
      <c r="G121" s="29">
        <v>7.9390999999999998</v>
      </c>
    </row>
    <row r="122" spans="1:7" x14ac:dyDescent="0.2">
      <c r="A122" s="67">
        <v>2000</v>
      </c>
      <c r="B122" s="19">
        <v>2000</v>
      </c>
      <c r="C122" s="22">
        <v>212.42</v>
      </c>
      <c r="D122" s="23">
        <v>9.9599999999999994E-2</v>
      </c>
      <c r="E122" s="24">
        <v>2600.3000000000002</v>
      </c>
      <c r="F122" s="24">
        <v>2799.5</v>
      </c>
      <c r="G122" s="25">
        <v>6.3409000000000004</v>
      </c>
    </row>
    <row r="123" spans="1:7" x14ac:dyDescent="0.2">
      <c r="A123" s="68" t="s">
        <v>80</v>
      </c>
      <c r="B123" s="20">
        <v>2000</v>
      </c>
      <c r="C123" s="26">
        <v>240</v>
      </c>
      <c r="D123" s="27">
        <v>0.1085</v>
      </c>
      <c r="E123" s="28">
        <v>2659.6</v>
      </c>
      <c r="F123" s="28">
        <v>2876.5</v>
      </c>
      <c r="G123" s="29">
        <v>6.4951999999999996</v>
      </c>
    </row>
    <row r="124" spans="1:7" x14ac:dyDescent="0.2">
      <c r="A124" s="68" t="s">
        <v>80</v>
      </c>
      <c r="B124" s="20">
        <v>2000</v>
      </c>
      <c r="C124" s="26">
        <v>280</v>
      </c>
      <c r="D124" s="27">
        <v>0.12</v>
      </c>
      <c r="E124" s="28">
        <v>2736.4</v>
      </c>
      <c r="F124" s="28">
        <v>2976.4</v>
      </c>
      <c r="G124" s="29">
        <v>6.6828000000000003</v>
      </c>
    </row>
    <row r="125" spans="1:7" x14ac:dyDescent="0.2">
      <c r="A125" s="68" t="s">
        <v>80</v>
      </c>
      <c r="B125" s="20">
        <v>2000</v>
      </c>
      <c r="C125" s="26">
        <v>320</v>
      </c>
      <c r="D125" s="27">
        <v>0.1308</v>
      </c>
      <c r="E125" s="28">
        <v>2807.9</v>
      </c>
      <c r="F125" s="28">
        <v>3069.5</v>
      </c>
      <c r="G125" s="29">
        <v>6.8452000000000002</v>
      </c>
    </row>
    <row r="126" spans="1:7" x14ac:dyDescent="0.2">
      <c r="A126" s="68" t="s">
        <v>80</v>
      </c>
      <c r="B126" s="20">
        <v>2000</v>
      </c>
      <c r="C126" s="26">
        <v>360</v>
      </c>
      <c r="D126" s="27">
        <v>0.1411</v>
      </c>
      <c r="E126" s="28">
        <v>2877</v>
      </c>
      <c r="F126" s="28">
        <v>3159.3</v>
      </c>
      <c r="G126" s="29">
        <v>6.9916999999999998</v>
      </c>
    </row>
    <row r="127" spans="1:7" x14ac:dyDescent="0.2">
      <c r="A127" s="68" t="s">
        <v>80</v>
      </c>
      <c r="B127" s="20">
        <v>2000</v>
      </c>
      <c r="C127" s="26">
        <v>400</v>
      </c>
      <c r="D127" s="27">
        <v>0.1512</v>
      </c>
      <c r="E127" s="28">
        <v>2945.2</v>
      </c>
      <c r="F127" s="28">
        <v>3247.6</v>
      </c>
      <c r="G127" s="29">
        <v>7.1271000000000004</v>
      </c>
    </row>
    <row r="128" spans="1:7" x14ac:dyDescent="0.2">
      <c r="A128" s="68" t="s">
        <v>80</v>
      </c>
      <c r="B128" s="20">
        <v>2000</v>
      </c>
      <c r="C128" s="26">
        <v>440</v>
      </c>
      <c r="D128" s="27">
        <v>0.16109999999999999</v>
      </c>
      <c r="E128" s="28">
        <v>3013.4</v>
      </c>
      <c r="F128" s="28">
        <v>3335.5</v>
      </c>
      <c r="G128" s="29">
        <v>7.2539999999999996</v>
      </c>
    </row>
    <row r="129" spans="1:7" x14ac:dyDescent="0.2">
      <c r="A129" s="68" t="s">
        <v>80</v>
      </c>
      <c r="B129" s="20">
        <v>2000</v>
      </c>
      <c r="C129" s="26">
        <v>500</v>
      </c>
      <c r="D129" s="27">
        <v>0.1757</v>
      </c>
      <c r="E129" s="28">
        <v>3116.2</v>
      </c>
      <c r="F129" s="28">
        <v>3467.6</v>
      </c>
      <c r="G129" s="29">
        <v>7.4317000000000002</v>
      </c>
    </row>
    <row r="130" spans="1:7" x14ac:dyDescent="0.2">
      <c r="A130" s="68" t="s">
        <v>80</v>
      </c>
      <c r="B130" s="20">
        <v>2000</v>
      </c>
      <c r="C130" s="26">
        <v>540</v>
      </c>
      <c r="D130" s="27">
        <v>0.18529999999999999</v>
      </c>
      <c r="E130" s="28">
        <v>3185.6</v>
      </c>
      <c r="F130" s="28">
        <v>3556.1</v>
      </c>
      <c r="G130" s="29">
        <v>7.5434000000000001</v>
      </c>
    </row>
    <row r="131" spans="1:7" x14ac:dyDescent="0.2">
      <c r="A131" s="68" t="s">
        <v>80</v>
      </c>
      <c r="B131" s="20">
        <v>2000</v>
      </c>
      <c r="C131" s="26">
        <v>600</v>
      </c>
      <c r="D131" s="27">
        <v>0.1996</v>
      </c>
      <c r="E131" s="28">
        <v>3290.9</v>
      </c>
      <c r="F131" s="28">
        <v>3690.1</v>
      </c>
      <c r="G131" s="29">
        <v>7.7023999999999999</v>
      </c>
    </row>
    <row r="132" spans="1:7" x14ac:dyDescent="0.2">
      <c r="A132" s="68" t="s">
        <v>80</v>
      </c>
      <c r="B132" s="20">
        <v>2000</v>
      </c>
      <c r="C132" s="26">
        <v>640</v>
      </c>
      <c r="D132" s="27">
        <v>0.20910000000000001</v>
      </c>
      <c r="E132" s="28">
        <v>3362.2</v>
      </c>
      <c r="F132" s="28">
        <v>3780.4</v>
      </c>
      <c r="G132" s="29">
        <v>7.8034999999999997</v>
      </c>
    </row>
    <row r="133" spans="1:7" x14ac:dyDescent="0.2">
      <c r="A133" s="69" t="s">
        <v>80</v>
      </c>
      <c r="B133" s="21">
        <v>2000</v>
      </c>
      <c r="C133" s="30">
        <v>700</v>
      </c>
      <c r="D133" s="31">
        <v>0.22320000000000001</v>
      </c>
      <c r="E133" s="32">
        <v>3470.9</v>
      </c>
      <c r="F133" s="32">
        <v>3917.4</v>
      </c>
      <c r="G133" s="33">
        <v>7.9486999999999997</v>
      </c>
    </row>
    <row r="134" spans="1:7" x14ac:dyDescent="0.2">
      <c r="A134" s="66">
        <v>3000</v>
      </c>
      <c r="B134" s="17">
        <v>3000</v>
      </c>
      <c r="C134" s="26">
        <v>233.9</v>
      </c>
      <c r="D134" s="27">
        <v>6.6699999999999995E-2</v>
      </c>
      <c r="E134" s="28">
        <v>2604.1</v>
      </c>
      <c r="F134" s="28">
        <v>2804.2</v>
      </c>
      <c r="G134" s="29">
        <v>6.1868999999999996</v>
      </c>
    </row>
    <row r="135" spans="1:7" x14ac:dyDescent="0.2">
      <c r="A135" s="66" t="s">
        <v>80</v>
      </c>
      <c r="B135" s="17">
        <v>3000</v>
      </c>
      <c r="C135" s="26">
        <v>240</v>
      </c>
      <c r="D135" s="27">
        <v>6.8199999999999997E-2</v>
      </c>
      <c r="E135" s="28">
        <v>2619.6999999999998</v>
      </c>
      <c r="F135" s="28">
        <v>2824.3</v>
      </c>
      <c r="G135" s="29">
        <v>6.2264999999999997</v>
      </c>
    </row>
    <row r="136" spans="1:7" x14ac:dyDescent="0.2">
      <c r="A136" s="66" t="s">
        <v>80</v>
      </c>
      <c r="B136" s="17">
        <v>3000</v>
      </c>
      <c r="C136" s="26">
        <v>280</v>
      </c>
      <c r="D136" s="27">
        <v>7.7100000000000002E-2</v>
      </c>
      <c r="E136" s="28">
        <v>2709.9</v>
      </c>
      <c r="F136" s="28">
        <v>2941.3</v>
      </c>
      <c r="G136" s="29">
        <v>6.4462000000000002</v>
      </c>
    </row>
    <row r="137" spans="1:7" x14ac:dyDescent="0.2">
      <c r="A137" s="66" t="s">
        <v>80</v>
      </c>
      <c r="B137" s="17">
        <v>3000</v>
      </c>
      <c r="C137" s="26">
        <v>320</v>
      </c>
      <c r="D137" s="27">
        <v>8.5000000000000006E-2</v>
      </c>
      <c r="E137" s="28">
        <v>2788.4</v>
      </c>
      <c r="F137" s="28">
        <v>3043.4</v>
      </c>
      <c r="G137" s="29">
        <v>6.6245000000000003</v>
      </c>
    </row>
    <row r="138" spans="1:7" x14ac:dyDescent="0.2">
      <c r="A138" s="66" t="s">
        <v>80</v>
      </c>
      <c r="B138" s="17">
        <v>3000</v>
      </c>
      <c r="C138" s="26">
        <v>360</v>
      </c>
      <c r="D138" s="27">
        <v>9.2299999999999993E-2</v>
      </c>
      <c r="E138" s="28">
        <v>2861.7</v>
      </c>
      <c r="F138" s="28">
        <v>3138.7</v>
      </c>
      <c r="G138" s="29">
        <v>6.7801</v>
      </c>
    </row>
    <row r="139" spans="1:7" x14ac:dyDescent="0.2">
      <c r="A139" s="66" t="s">
        <v>80</v>
      </c>
      <c r="B139" s="17">
        <v>3000</v>
      </c>
      <c r="C139" s="26">
        <v>400</v>
      </c>
      <c r="D139" s="27">
        <v>9.9400000000000002E-2</v>
      </c>
      <c r="E139" s="28">
        <v>2932.8</v>
      </c>
      <c r="F139" s="28">
        <v>3230.9</v>
      </c>
      <c r="G139" s="29">
        <v>6.9211999999999998</v>
      </c>
    </row>
    <row r="140" spans="1:7" x14ac:dyDescent="0.2">
      <c r="A140" s="66" t="s">
        <v>80</v>
      </c>
      <c r="B140" s="17">
        <v>3000</v>
      </c>
      <c r="C140" s="26">
        <v>440</v>
      </c>
      <c r="D140" s="27">
        <v>0.1062</v>
      </c>
      <c r="E140" s="28">
        <v>3002.9</v>
      </c>
      <c r="F140" s="28">
        <v>3321.5</v>
      </c>
      <c r="G140" s="29">
        <v>7.0519999999999996</v>
      </c>
    </row>
    <row r="141" spans="1:7" x14ac:dyDescent="0.2">
      <c r="A141" s="66" t="s">
        <v>80</v>
      </c>
      <c r="B141" s="17">
        <v>3000</v>
      </c>
      <c r="C141" s="26">
        <v>500</v>
      </c>
      <c r="D141" s="27">
        <v>0.1162</v>
      </c>
      <c r="E141" s="28">
        <v>3108</v>
      </c>
      <c r="F141" s="28">
        <v>3456.5</v>
      </c>
      <c r="G141" s="29">
        <v>7.2337999999999996</v>
      </c>
    </row>
    <row r="142" spans="1:7" x14ac:dyDescent="0.2">
      <c r="A142" s="66" t="s">
        <v>80</v>
      </c>
      <c r="B142" s="17">
        <v>3000</v>
      </c>
      <c r="C142" s="26">
        <v>540</v>
      </c>
      <c r="D142" s="27">
        <v>0.1227</v>
      </c>
      <c r="E142" s="28">
        <v>3178.4</v>
      </c>
      <c r="F142" s="28">
        <v>3546.6</v>
      </c>
      <c r="G142" s="29">
        <v>7.3474000000000004</v>
      </c>
    </row>
    <row r="143" spans="1:7" x14ac:dyDescent="0.2">
      <c r="A143" s="66" t="s">
        <v>80</v>
      </c>
      <c r="B143" s="17">
        <v>3000</v>
      </c>
      <c r="C143" s="26">
        <v>600</v>
      </c>
      <c r="D143" s="27">
        <v>0.13239999999999999</v>
      </c>
      <c r="E143" s="28">
        <v>3285</v>
      </c>
      <c r="F143" s="28">
        <v>3682.3</v>
      </c>
      <c r="G143" s="29">
        <v>7.5084999999999997</v>
      </c>
    </row>
    <row r="144" spans="1:7" x14ac:dyDescent="0.2">
      <c r="A144" s="66" t="s">
        <v>80</v>
      </c>
      <c r="B144" s="17">
        <v>3000</v>
      </c>
      <c r="C144" s="26">
        <v>640</v>
      </c>
      <c r="D144" s="27">
        <v>0.13880000000000001</v>
      </c>
      <c r="E144" s="28">
        <v>3357</v>
      </c>
      <c r="F144" s="28">
        <v>3773.5</v>
      </c>
      <c r="G144" s="29">
        <v>7.6105999999999998</v>
      </c>
    </row>
    <row r="145" spans="1:7" x14ac:dyDescent="0.2">
      <c r="A145" s="66" t="s">
        <v>80</v>
      </c>
      <c r="B145" s="17">
        <v>3000</v>
      </c>
      <c r="C145" s="26">
        <v>700</v>
      </c>
      <c r="D145" s="27">
        <v>0.1484</v>
      </c>
      <c r="E145" s="28">
        <v>3466.5</v>
      </c>
      <c r="F145" s="28">
        <v>3911.7</v>
      </c>
      <c r="G145" s="29">
        <v>7.7571000000000003</v>
      </c>
    </row>
    <row r="146" spans="1:7" x14ac:dyDescent="0.2">
      <c r="A146" s="63">
        <v>4000</v>
      </c>
      <c r="B146" s="19">
        <v>4000</v>
      </c>
      <c r="C146" s="22">
        <v>250.4</v>
      </c>
      <c r="D146" s="23">
        <v>4.9779999999999998E-2</v>
      </c>
      <c r="E146" s="24">
        <v>2602.3000000000002</v>
      </c>
      <c r="F146" s="24">
        <v>2801.4</v>
      </c>
      <c r="G146" s="25">
        <v>6.0701000000000001</v>
      </c>
    </row>
    <row r="147" spans="1:7" x14ac:dyDescent="0.2">
      <c r="A147" s="64" t="s">
        <v>80</v>
      </c>
      <c r="B147" s="20">
        <v>4000</v>
      </c>
      <c r="C147" s="26">
        <v>280</v>
      </c>
      <c r="D147" s="27">
        <v>5.5460000000000002E-2</v>
      </c>
      <c r="E147" s="28">
        <v>2680</v>
      </c>
      <c r="F147" s="28">
        <v>2901.8</v>
      </c>
      <c r="G147" s="29">
        <v>6.2568000000000001</v>
      </c>
    </row>
    <row r="148" spans="1:7" x14ac:dyDescent="0.2">
      <c r="A148" s="64" t="s">
        <v>80</v>
      </c>
      <c r="B148" s="20">
        <v>4000</v>
      </c>
      <c r="C148" s="26">
        <v>320</v>
      </c>
      <c r="D148" s="27">
        <v>6.1990000000000003E-2</v>
      </c>
      <c r="E148" s="28">
        <v>2767.4</v>
      </c>
      <c r="F148" s="28">
        <v>3015.4</v>
      </c>
      <c r="G148" s="29">
        <v>6.4553000000000003</v>
      </c>
    </row>
    <row r="149" spans="1:7" x14ac:dyDescent="0.2">
      <c r="A149" s="64" t="s">
        <v>80</v>
      </c>
      <c r="B149" s="20">
        <v>4000</v>
      </c>
      <c r="C149" s="26">
        <v>360</v>
      </c>
      <c r="D149" s="27">
        <v>6.7879999999999996E-2</v>
      </c>
      <c r="E149" s="28">
        <v>2845.7</v>
      </c>
      <c r="F149" s="28">
        <v>3117.2</v>
      </c>
      <c r="G149" s="29">
        <v>6.6215000000000002</v>
      </c>
    </row>
    <row r="150" spans="1:7" x14ac:dyDescent="0.2">
      <c r="A150" s="64" t="s">
        <v>80</v>
      </c>
      <c r="B150" s="20">
        <v>4000</v>
      </c>
      <c r="C150" s="26">
        <v>400</v>
      </c>
      <c r="D150" s="27">
        <v>7.3410000000000003E-2</v>
      </c>
      <c r="E150" s="28">
        <v>2919.9</v>
      </c>
      <c r="F150" s="28">
        <v>3213.6</v>
      </c>
      <c r="G150" s="29">
        <v>6.7690000000000001</v>
      </c>
    </row>
    <row r="151" spans="1:7" x14ac:dyDescent="0.2">
      <c r="A151" s="64" t="s">
        <v>80</v>
      </c>
      <c r="B151" s="20">
        <v>4000</v>
      </c>
      <c r="C151" s="26">
        <v>440</v>
      </c>
      <c r="D151" s="27">
        <v>7.8719999999999998E-2</v>
      </c>
      <c r="E151" s="28">
        <v>2992.2</v>
      </c>
      <c r="F151" s="28">
        <v>3307.1</v>
      </c>
      <c r="G151" s="29">
        <v>6.9040999999999997</v>
      </c>
    </row>
    <row r="152" spans="1:7" x14ac:dyDescent="0.2">
      <c r="A152" s="64" t="s">
        <v>80</v>
      </c>
      <c r="B152" s="20">
        <v>4000</v>
      </c>
      <c r="C152" s="26">
        <v>500</v>
      </c>
      <c r="D152" s="27">
        <v>8.6430000000000007E-2</v>
      </c>
      <c r="E152" s="28">
        <v>3099.5</v>
      </c>
      <c r="F152" s="28">
        <v>3445.3</v>
      </c>
      <c r="G152" s="29">
        <v>7.0900999999999996</v>
      </c>
    </row>
    <row r="153" spans="1:7" x14ac:dyDescent="0.2">
      <c r="A153" s="64" t="s">
        <v>80</v>
      </c>
      <c r="B153" s="20">
        <v>4000</v>
      </c>
      <c r="C153" s="26">
        <v>540</v>
      </c>
      <c r="D153" s="27">
        <v>9.1450000000000004E-2</v>
      </c>
      <c r="E153" s="28">
        <v>3171.1</v>
      </c>
      <c r="F153" s="28">
        <v>3536.9</v>
      </c>
      <c r="G153" s="29">
        <v>7.2055999999999996</v>
      </c>
    </row>
    <row r="154" spans="1:7" x14ac:dyDescent="0.2">
      <c r="A154" s="64" t="s">
        <v>80</v>
      </c>
      <c r="B154" s="20">
        <v>4000</v>
      </c>
      <c r="C154" s="26">
        <v>600</v>
      </c>
      <c r="D154" s="27">
        <v>9.8849999999999993E-2</v>
      </c>
      <c r="E154" s="28">
        <v>3279.1</v>
      </c>
      <c r="F154" s="28">
        <v>3674.4</v>
      </c>
      <c r="G154" s="29">
        <v>7.3688000000000002</v>
      </c>
    </row>
    <row r="155" spans="1:7" x14ac:dyDescent="0.2">
      <c r="A155" s="64" t="s">
        <v>80</v>
      </c>
      <c r="B155" s="20">
        <v>4000</v>
      </c>
      <c r="C155" s="26">
        <v>640</v>
      </c>
      <c r="D155" s="27">
        <v>0.1037</v>
      </c>
      <c r="E155" s="28">
        <v>3351.8</v>
      </c>
      <c r="F155" s="28">
        <v>3766.6</v>
      </c>
      <c r="G155" s="29">
        <v>7.4720000000000004</v>
      </c>
    </row>
    <row r="156" spans="1:7" x14ac:dyDescent="0.2">
      <c r="A156" s="64" t="s">
        <v>80</v>
      </c>
      <c r="B156" s="20">
        <v>4000</v>
      </c>
      <c r="C156" s="26">
        <v>700</v>
      </c>
      <c r="D156" s="27">
        <v>0.111</v>
      </c>
      <c r="E156" s="28">
        <v>3462.1</v>
      </c>
      <c r="F156" s="28">
        <v>3905.9</v>
      </c>
      <c r="G156" s="29">
        <v>7.6197999999999997</v>
      </c>
    </row>
    <row r="157" spans="1:7" x14ac:dyDescent="0.2">
      <c r="A157" s="65" t="s">
        <v>80</v>
      </c>
      <c r="B157" s="21">
        <v>4000</v>
      </c>
      <c r="C157" s="30">
        <v>740</v>
      </c>
      <c r="D157" s="31">
        <v>0.1157</v>
      </c>
      <c r="E157" s="32">
        <v>3536.6</v>
      </c>
      <c r="F157" s="32">
        <v>3999.6</v>
      </c>
      <c r="G157" s="33">
        <v>7.7141000000000002</v>
      </c>
    </row>
    <row r="158" spans="1:7" x14ac:dyDescent="0.2">
      <c r="A158" s="66">
        <v>6000</v>
      </c>
      <c r="B158" s="17">
        <v>6000</v>
      </c>
      <c r="C158" s="26">
        <v>275.64</v>
      </c>
      <c r="D158" s="27">
        <v>3.2439999999999997E-2</v>
      </c>
      <c r="E158" s="28">
        <v>2589.6999999999998</v>
      </c>
      <c r="F158" s="28">
        <v>2784.3</v>
      </c>
      <c r="G158" s="29">
        <v>5.8891999999999998</v>
      </c>
    </row>
    <row r="159" spans="1:7" x14ac:dyDescent="0.2">
      <c r="A159" s="66" t="s">
        <v>80</v>
      </c>
      <c r="B159" s="17">
        <v>6000</v>
      </c>
      <c r="C159" s="26">
        <v>280</v>
      </c>
      <c r="D159" s="27">
        <v>3.3169999999999998E-2</v>
      </c>
      <c r="E159" s="28">
        <v>2605.1999999999998</v>
      </c>
      <c r="F159" s="28">
        <v>2804.2</v>
      </c>
      <c r="G159" s="29">
        <v>5.9252000000000002</v>
      </c>
    </row>
    <row r="160" spans="1:7" x14ac:dyDescent="0.2">
      <c r="A160" s="66" t="s">
        <v>80</v>
      </c>
      <c r="B160" s="17">
        <v>6000</v>
      </c>
      <c r="C160" s="26">
        <v>320</v>
      </c>
      <c r="D160" s="27">
        <v>3.8760000000000003E-2</v>
      </c>
      <c r="E160" s="28">
        <v>2720</v>
      </c>
      <c r="F160" s="28">
        <v>2952.6</v>
      </c>
      <c r="G160" s="29">
        <v>6.1845999999999997</v>
      </c>
    </row>
    <row r="161" spans="1:7" x14ac:dyDescent="0.2">
      <c r="A161" s="66" t="s">
        <v>80</v>
      </c>
      <c r="B161" s="17">
        <v>6000</v>
      </c>
      <c r="C161" s="26">
        <v>360</v>
      </c>
      <c r="D161" s="27">
        <v>4.3310000000000001E-2</v>
      </c>
      <c r="E161" s="28">
        <v>2811.2</v>
      </c>
      <c r="F161" s="28">
        <v>3071.1</v>
      </c>
      <c r="G161" s="29">
        <v>6.3781999999999996</v>
      </c>
    </row>
    <row r="162" spans="1:7" x14ac:dyDescent="0.2">
      <c r="A162" s="66" t="s">
        <v>80</v>
      </c>
      <c r="B162" s="17">
        <v>6000</v>
      </c>
      <c r="C162" s="26">
        <v>400</v>
      </c>
      <c r="D162" s="27">
        <v>4.7390000000000002E-2</v>
      </c>
      <c r="E162" s="28">
        <v>2892.9</v>
      </c>
      <c r="F162" s="28">
        <v>3177.2</v>
      </c>
      <c r="G162" s="29">
        <v>6.5407999999999999</v>
      </c>
    </row>
    <row r="163" spans="1:7" x14ac:dyDescent="0.2">
      <c r="A163" s="66" t="s">
        <v>80</v>
      </c>
      <c r="B163" s="17">
        <v>6000</v>
      </c>
      <c r="C163" s="26">
        <v>440</v>
      </c>
      <c r="D163" s="27">
        <v>5.1220000000000002E-2</v>
      </c>
      <c r="E163" s="28">
        <v>2970</v>
      </c>
      <c r="F163" s="28">
        <v>3277.3</v>
      </c>
      <c r="G163" s="29">
        <v>6.6852999999999998</v>
      </c>
    </row>
    <row r="164" spans="1:7" x14ac:dyDescent="0.2">
      <c r="A164" s="66" t="s">
        <v>80</v>
      </c>
      <c r="B164" s="17">
        <v>6000</v>
      </c>
      <c r="C164" s="26">
        <v>500</v>
      </c>
      <c r="D164" s="27">
        <v>5.6649999999999999E-2</v>
      </c>
      <c r="E164" s="28">
        <v>3082.2</v>
      </c>
      <c r="F164" s="28">
        <v>3422.2</v>
      </c>
      <c r="G164" s="29">
        <v>6.8803000000000001</v>
      </c>
    </row>
    <row r="165" spans="1:7" x14ac:dyDescent="0.2">
      <c r="A165" s="66" t="s">
        <v>80</v>
      </c>
      <c r="B165" s="17">
        <v>6000</v>
      </c>
      <c r="C165" s="26">
        <v>540</v>
      </c>
      <c r="D165" s="27">
        <v>6.0150000000000002E-2</v>
      </c>
      <c r="E165" s="28">
        <v>3156.1</v>
      </c>
      <c r="F165" s="28">
        <v>3517</v>
      </c>
      <c r="G165" s="29">
        <v>6.9999000000000002</v>
      </c>
    </row>
    <row r="166" spans="1:7" x14ac:dyDescent="0.2">
      <c r="A166" s="66" t="s">
        <v>80</v>
      </c>
      <c r="B166" s="17">
        <v>6000</v>
      </c>
      <c r="C166" s="26">
        <v>600</v>
      </c>
      <c r="D166" s="27">
        <v>6.5250000000000002E-2</v>
      </c>
      <c r="E166" s="28">
        <v>3266.9</v>
      </c>
      <c r="F166" s="28">
        <v>3658.4</v>
      </c>
      <c r="G166" s="29">
        <v>7.1677</v>
      </c>
    </row>
    <row r="167" spans="1:7" x14ac:dyDescent="0.2">
      <c r="A167" s="66" t="s">
        <v>80</v>
      </c>
      <c r="B167" s="17">
        <v>6000</v>
      </c>
      <c r="C167" s="26">
        <v>640</v>
      </c>
      <c r="D167" s="27">
        <v>6.8589999999999998E-2</v>
      </c>
      <c r="E167" s="28">
        <v>3341</v>
      </c>
      <c r="F167" s="28">
        <v>3752.6</v>
      </c>
      <c r="G167" s="29">
        <v>7.2731000000000003</v>
      </c>
    </row>
    <row r="168" spans="1:7" x14ac:dyDescent="0.2">
      <c r="A168" s="66" t="s">
        <v>80</v>
      </c>
      <c r="B168" s="17">
        <v>6000</v>
      </c>
      <c r="C168" s="26">
        <v>700</v>
      </c>
      <c r="D168" s="27">
        <v>7.3520000000000002E-2</v>
      </c>
      <c r="E168" s="28">
        <v>3453.1</v>
      </c>
      <c r="F168" s="28">
        <v>3894.1</v>
      </c>
      <c r="G168" s="29">
        <v>7.4234</v>
      </c>
    </row>
    <row r="169" spans="1:7" x14ac:dyDescent="0.2">
      <c r="A169" s="66" t="s">
        <v>80</v>
      </c>
      <c r="B169" s="17">
        <v>6000</v>
      </c>
      <c r="C169" s="26">
        <v>740</v>
      </c>
      <c r="D169" s="27">
        <v>7.6770000000000005E-2</v>
      </c>
      <c r="E169" s="28">
        <v>3528.3</v>
      </c>
      <c r="F169" s="28">
        <v>3989.2</v>
      </c>
      <c r="G169" s="29">
        <v>7.5190000000000001</v>
      </c>
    </row>
    <row r="170" spans="1:7" x14ac:dyDescent="0.2">
      <c r="A170" s="63">
        <v>8000</v>
      </c>
      <c r="B170" s="19">
        <v>8000</v>
      </c>
      <c r="C170" s="22">
        <v>295.06</v>
      </c>
      <c r="D170" s="23">
        <v>2.3519999999999999E-2</v>
      </c>
      <c r="E170" s="24">
        <v>2569.8000000000002</v>
      </c>
      <c r="F170" s="24">
        <v>2758</v>
      </c>
      <c r="G170" s="25">
        <v>5.7431999999999999</v>
      </c>
    </row>
    <row r="171" spans="1:7" x14ac:dyDescent="0.2">
      <c r="A171" s="64" t="s">
        <v>80</v>
      </c>
      <c r="B171" s="20">
        <v>8000</v>
      </c>
      <c r="C171" s="26">
        <v>320</v>
      </c>
      <c r="D171" s="27">
        <v>2.682E-2</v>
      </c>
      <c r="E171" s="28">
        <v>2662.7</v>
      </c>
      <c r="F171" s="28">
        <v>2877.2</v>
      </c>
      <c r="G171" s="29">
        <v>5.9489000000000001</v>
      </c>
    </row>
    <row r="172" spans="1:7" x14ac:dyDescent="0.2">
      <c r="A172" s="64" t="s">
        <v>80</v>
      </c>
      <c r="B172" s="20">
        <v>8000</v>
      </c>
      <c r="C172" s="26">
        <v>360</v>
      </c>
      <c r="D172" s="27">
        <v>3.0890000000000001E-2</v>
      </c>
      <c r="E172" s="28">
        <v>2772.7</v>
      </c>
      <c r="F172" s="28">
        <v>3019.8</v>
      </c>
      <c r="G172" s="29">
        <v>6.1818999999999997</v>
      </c>
    </row>
    <row r="173" spans="1:7" x14ac:dyDescent="0.2">
      <c r="A173" s="64" t="s">
        <v>80</v>
      </c>
      <c r="B173" s="20">
        <v>8000</v>
      </c>
      <c r="C173" s="26">
        <v>400</v>
      </c>
      <c r="D173" s="27">
        <v>3.4320000000000003E-2</v>
      </c>
      <c r="E173" s="28">
        <v>2863.8</v>
      </c>
      <c r="F173" s="28">
        <v>3138.3</v>
      </c>
      <c r="G173" s="29">
        <v>6.3634000000000004</v>
      </c>
    </row>
    <row r="174" spans="1:7" x14ac:dyDescent="0.2">
      <c r="A174" s="64" t="s">
        <v>80</v>
      </c>
      <c r="B174" s="20">
        <v>8000</v>
      </c>
      <c r="C174" s="26">
        <v>440</v>
      </c>
      <c r="D174" s="27">
        <v>3.7420000000000002E-2</v>
      </c>
      <c r="E174" s="28">
        <v>2946.7</v>
      </c>
      <c r="F174" s="28">
        <v>3246.1</v>
      </c>
      <c r="G174" s="29">
        <v>6.5190000000000001</v>
      </c>
    </row>
    <row r="175" spans="1:7" x14ac:dyDescent="0.2">
      <c r="A175" s="64" t="s">
        <v>80</v>
      </c>
      <c r="B175" s="20">
        <v>8000</v>
      </c>
      <c r="C175" s="26">
        <v>480</v>
      </c>
      <c r="D175" s="27">
        <v>4.0340000000000001E-2</v>
      </c>
      <c r="E175" s="28">
        <v>3025.7</v>
      </c>
      <c r="F175" s="28">
        <v>3348.4</v>
      </c>
      <c r="G175" s="29">
        <v>6.6585999999999999</v>
      </c>
    </row>
    <row r="176" spans="1:7" x14ac:dyDescent="0.2">
      <c r="A176" s="64" t="s">
        <v>80</v>
      </c>
      <c r="B176" s="20">
        <v>8000</v>
      </c>
      <c r="C176" s="26">
        <v>520</v>
      </c>
      <c r="D176" s="27">
        <v>4.3130000000000002E-2</v>
      </c>
      <c r="E176" s="28">
        <v>3102.7</v>
      </c>
      <c r="F176" s="28">
        <v>3447.7</v>
      </c>
      <c r="G176" s="29">
        <v>6.7870999999999997</v>
      </c>
    </row>
    <row r="177" spans="1:7" x14ac:dyDescent="0.2">
      <c r="A177" s="64" t="s">
        <v>80</v>
      </c>
      <c r="B177" s="20">
        <v>8000</v>
      </c>
      <c r="C177" s="26">
        <v>560</v>
      </c>
      <c r="D177" s="27">
        <v>4.582E-2</v>
      </c>
      <c r="E177" s="28">
        <v>3178.7</v>
      </c>
      <c r="F177" s="28">
        <v>3545.3</v>
      </c>
      <c r="G177" s="29">
        <v>6.9071999999999996</v>
      </c>
    </row>
    <row r="178" spans="1:7" x14ac:dyDescent="0.2">
      <c r="A178" s="64" t="s">
        <v>80</v>
      </c>
      <c r="B178" s="20">
        <v>8000</v>
      </c>
      <c r="C178" s="26">
        <v>600</v>
      </c>
      <c r="D178" s="27">
        <v>4.845E-2</v>
      </c>
      <c r="E178" s="28">
        <v>3254.4</v>
      </c>
      <c r="F178" s="28">
        <v>3642</v>
      </c>
      <c r="G178" s="29">
        <v>7.0206</v>
      </c>
    </row>
    <row r="179" spans="1:7" x14ac:dyDescent="0.2">
      <c r="A179" s="64" t="s">
        <v>80</v>
      </c>
      <c r="B179" s="20">
        <v>8000</v>
      </c>
      <c r="C179" s="26">
        <v>640</v>
      </c>
      <c r="D179" s="27">
        <v>5.1020000000000003E-2</v>
      </c>
      <c r="E179" s="28">
        <v>3330.1</v>
      </c>
      <c r="F179" s="28">
        <v>3738.3</v>
      </c>
      <c r="G179" s="29">
        <v>7.1283000000000003</v>
      </c>
    </row>
    <row r="180" spans="1:7" x14ac:dyDescent="0.2">
      <c r="A180" s="64" t="s">
        <v>80</v>
      </c>
      <c r="B180" s="20">
        <v>8000</v>
      </c>
      <c r="C180" s="26">
        <v>700</v>
      </c>
      <c r="D180" s="27">
        <v>5.4809999999999998E-2</v>
      </c>
      <c r="E180" s="28">
        <v>3443.9</v>
      </c>
      <c r="F180" s="28">
        <v>3882.4</v>
      </c>
      <c r="G180" s="29">
        <v>7.2812000000000001</v>
      </c>
    </row>
    <row r="181" spans="1:7" x14ac:dyDescent="0.2">
      <c r="A181" s="65" t="s">
        <v>80</v>
      </c>
      <c r="B181" s="21">
        <v>8000</v>
      </c>
      <c r="C181" s="30">
        <v>740</v>
      </c>
      <c r="D181" s="31">
        <v>5.7290000000000001E-2</v>
      </c>
      <c r="E181" s="32">
        <v>3520.4</v>
      </c>
      <c r="F181" s="32">
        <v>3978.7</v>
      </c>
      <c r="G181" s="33">
        <v>7.3781999999999996</v>
      </c>
    </row>
    <row r="182" spans="1:7" x14ac:dyDescent="0.2">
      <c r="A182" s="66">
        <v>10000</v>
      </c>
      <c r="B182" s="17">
        <v>10000</v>
      </c>
      <c r="C182" s="26">
        <v>311.06</v>
      </c>
      <c r="D182" s="27">
        <v>1.8030000000000001E-2</v>
      </c>
      <c r="E182" s="28">
        <v>2544.4</v>
      </c>
      <c r="F182" s="28">
        <v>2724.7</v>
      </c>
      <c r="G182" s="29">
        <v>5.6140999999999996</v>
      </c>
    </row>
    <row r="183" spans="1:7" x14ac:dyDescent="0.2">
      <c r="A183" s="66" t="s">
        <v>80</v>
      </c>
      <c r="B183" s="17">
        <v>10000</v>
      </c>
      <c r="C183" s="26">
        <v>320</v>
      </c>
      <c r="D183" s="27">
        <v>1.925E-2</v>
      </c>
      <c r="E183" s="28">
        <v>2588.8000000000002</v>
      </c>
      <c r="F183" s="28">
        <v>2781.3</v>
      </c>
      <c r="G183" s="29">
        <v>5.7103000000000002</v>
      </c>
    </row>
    <row r="184" spans="1:7" x14ac:dyDescent="0.2">
      <c r="A184" s="66" t="s">
        <v>80</v>
      </c>
      <c r="B184" s="17">
        <v>10000</v>
      </c>
      <c r="C184" s="26">
        <v>360</v>
      </c>
      <c r="D184" s="27">
        <v>2.3310000000000001E-2</v>
      </c>
      <c r="E184" s="28">
        <v>2729.1</v>
      </c>
      <c r="F184" s="28">
        <v>2962.1</v>
      </c>
      <c r="G184" s="29">
        <v>6.0060000000000002</v>
      </c>
    </row>
    <row r="185" spans="1:7" x14ac:dyDescent="0.2">
      <c r="A185" s="66" t="s">
        <v>80</v>
      </c>
      <c r="B185" s="17">
        <v>10000</v>
      </c>
      <c r="C185" s="26">
        <v>400</v>
      </c>
      <c r="D185" s="27">
        <v>2.6409999999999999E-2</v>
      </c>
      <c r="E185" s="28">
        <v>2832.4</v>
      </c>
      <c r="F185" s="28">
        <v>3096.5</v>
      </c>
      <c r="G185" s="29">
        <v>6.2119999999999997</v>
      </c>
    </row>
    <row r="186" spans="1:7" x14ac:dyDescent="0.2">
      <c r="A186" s="66" t="s">
        <v>80</v>
      </c>
      <c r="B186" s="17">
        <v>10000</v>
      </c>
      <c r="C186" s="26">
        <v>440</v>
      </c>
      <c r="D186" s="27">
        <v>2.911E-2</v>
      </c>
      <c r="E186" s="28">
        <v>2922.1</v>
      </c>
      <c r="F186" s="28">
        <v>3213.2</v>
      </c>
      <c r="G186" s="29">
        <v>6.3804999999999996</v>
      </c>
    </row>
    <row r="187" spans="1:7" x14ac:dyDescent="0.2">
      <c r="A187" s="66" t="s">
        <v>80</v>
      </c>
      <c r="B187" s="17">
        <v>10000</v>
      </c>
      <c r="C187" s="26">
        <v>480</v>
      </c>
      <c r="D187" s="27">
        <v>3.1600000000000003E-2</v>
      </c>
      <c r="E187" s="28">
        <v>3005.4</v>
      </c>
      <c r="F187" s="28">
        <v>3321.4</v>
      </c>
      <c r="G187" s="29">
        <v>6.5282</v>
      </c>
    </row>
    <row r="188" spans="1:7" x14ac:dyDescent="0.2">
      <c r="A188" s="66" t="s">
        <v>80</v>
      </c>
      <c r="B188" s="17">
        <v>10000</v>
      </c>
      <c r="C188" s="26">
        <v>520</v>
      </c>
      <c r="D188" s="27">
        <v>3.3939999999999998E-2</v>
      </c>
      <c r="E188" s="28">
        <v>3085.6</v>
      </c>
      <c r="F188" s="28">
        <v>3425.1</v>
      </c>
      <c r="G188" s="29">
        <v>6.6622000000000003</v>
      </c>
    </row>
    <row r="189" spans="1:7" x14ac:dyDescent="0.2">
      <c r="A189" s="66" t="s">
        <v>80</v>
      </c>
      <c r="B189" s="17">
        <v>10000</v>
      </c>
      <c r="C189" s="26">
        <v>560</v>
      </c>
      <c r="D189" s="27">
        <v>3.619E-2</v>
      </c>
      <c r="E189" s="28">
        <v>3164.1</v>
      </c>
      <c r="F189" s="28">
        <v>3526</v>
      </c>
      <c r="G189" s="29">
        <v>6.7864000000000004</v>
      </c>
    </row>
    <row r="190" spans="1:7" x14ac:dyDescent="0.2">
      <c r="A190" s="66" t="s">
        <v>80</v>
      </c>
      <c r="B190" s="17">
        <v>10000</v>
      </c>
      <c r="C190" s="26">
        <v>600</v>
      </c>
      <c r="D190" s="27">
        <v>3.8370000000000001E-2</v>
      </c>
      <c r="E190" s="28">
        <v>3241.7</v>
      </c>
      <c r="F190" s="28">
        <v>3625.3</v>
      </c>
      <c r="G190" s="29">
        <v>6.9028999999999998</v>
      </c>
    </row>
    <row r="191" spans="1:7" x14ac:dyDescent="0.2">
      <c r="A191" s="66" t="s">
        <v>80</v>
      </c>
      <c r="B191" s="17">
        <v>10000</v>
      </c>
      <c r="C191" s="26">
        <v>640</v>
      </c>
      <c r="D191" s="27">
        <v>4.0480000000000002E-2</v>
      </c>
      <c r="E191" s="28">
        <v>3318.9</v>
      </c>
      <c r="F191" s="28">
        <v>3723.7</v>
      </c>
      <c r="G191" s="29">
        <v>7.0130999999999997</v>
      </c>
    </row>
    <row r="192" spans="1:7" x14ac:dyDescent="0.2">
      <c r="A192" s="66" t="s">
        <v>80</v>
      </c>
      <c r="B192" s="17">
        <v>10000</v>
      </c>
      <c r="C192" s="26">
        <v>700</v>
      </c>
      <c r="D192" s="27">
        <v>4.3580000000000001E-2</v>
      </c>
      <c r="E192" s="28">
        <v>3434.7</v>
      </c>
      <c r="F192" s="28">
        <v>3870.5</v>
      </c>
      <c r="G192" s="29">
        <v>7.1687000000000003</v>
      </c>
    </row>
    <row r="193" spans="1:7" x14ac:dyDescent="0.2">
      <c r="A193" s="66" t="s">
        <v>80</v>
      </c>
      <c r="B193" s="17">
        <v>10000</v>
      </c>
      <c r="C193" s="26">
        <v>740</v>
      </c>
      <c r="D193" s="27">
        <v>4.5600000000000002E-2</v>
      </c>
      <c r="E193" s="28">
        <v>3512.1</v>
      </c>
      <c r="F193" s="28">
        <v>3968.1</v>
      </c>
      <c r="G193" s="29">
        <v>7.2670000000000003</v>
      </c>
    </row>
    <row r="194" spans="1:7" x14ac:dyDescent="0.2">
      <c r="A194" s="63">
        <v>12000</v>
      </c>
      <c r="B194" s="19">
        <v>12000</v>
      </c>
      <c r="C194" s="22">
        <v>324.75</v>
      </c>
      <c r="D194" s="23">
        <v>1.426E-2</v>
      </c>
      <c r="E194" s="24">
        <v>2513.6999999999998</v>
      </c>
      <c r="F194" s="24">
        <v>2684.9</v>
      </c>
      <c r="G194" s="25">
        <v>5.4923999999999999</v>
      </c>
    </row>
    <row r="195" spans="1:7" x14ac:dyDescent="0.2">
      <c r="A195" s="64" t="s">
        <v>80</v>
      </c>
      <c r="B195" s="20">
        <v>12000</v>
      </c>
      <c r="C195" s="26">
        <v>360</v>
      </c>
      <c r="D195" s="27">
        <v>1.8110000000000001E-2</v>
      </c>
      <c r="E195" s="28">
        <v>2678.4</v>
      </c>
      <c r="F195" s="28">
        <v>2895.7</v>
      </c>
      <c r="G195" s="29">
        <v>5.8361000000000001</v>
      </c>
    </row>
    <row r="196" spans="1:7" x14ac:dyDescent="0.2">
      <c r="A196" s="64" t="s">
        <v>80</v>
      </c>
      <c r="B196" s="20">
        <v>12000</v>
      </c>
      <c r="C196" s="26">
        <v>400</v>
      </c>
      <c r="D196" s="27">
        <v>2.1080000000000002E-2</v>
      </c>
      <c r="E196" s="28">
        <v>2798.3</v>
      </c>
      <c r="F196" s="28">
        <v>3051.3</v>
      </c>
      <c r="G196" s="29">
        <v>6.0747</v>
      </c>
    </row>
    <row r="197" spans="1:7" x14ac:dyDescent="0.2">
      <c r="A197" s="64" t="s">
        <v>80</v>
      </c>
      <c r="B197" s="20">
        <v>12000</v>
      </c>
      <c r="C197" s="26">
        <v>440</v>
      </c>
      <c r="D197" s="27">
        <v>2.3550000000000001E-2</v>
      </c>
      <c r="E197" s="28">
        <v>2896.1</v>
      </c>
      <c r="F197" s="28">
        <v>3178.7</v>
      </c>
      <c r="G197" s="29">
        <v>6.2586000000000004</v>
      </c>
    </row>
    <row r="198" spans="1:7" x14ac:dyDescent="0.2">
      <c r="A198" s="64" t="s">
        <v>80</v>
      </c>
      <c r="B198" s="20">
        <v>12000</v>
      </c>
      <c r="C198" s="26">
        <v>480</v>
      </c>
      <c r="D198" s="27">
        <v>2.5760000000000002E-2</v>
      </c>
      <c r="E198" s="28">
        <v>2984.4</v>
      </c>
      <c r="F198" s="28">
        <v>3293.5</v>
      </c>
      <c r="G198" s="29">
        <v>6.4154</v>
      </c>
    </row>
    <row r="199" spans="1:7" x14ac:dyDescent="0.2">
      <c r="A199" s="64" t="s">
        <v>80</v>
      </c>
      <c r="B199" s="20">
        <v>12000</v>
      </c>
      <c r="C199" s="26">
        <v>520</v>
      </c>
      <c r="D199" s="27">
        <v>2.7810000000000001E-2</v>
      </c>
      <c r="E199" s="28">
        <v>3068</v>
      </c>
      <c r="F199" s="28">
        <v>3401.8</v>
      </c>
      <c r="G199" s="29">
        <v>6.5555000000000003</v>
      </c>
    </row>
    <row r="200" spans="1:7" x14ac:dyDescent="0.2">
      <c r="A200" s="64" t="s">
        <v>80</v>
      </c>
      <c r="B200" s="20">
        <v>12000</v>
      </c>
      <c r="C200" s="26">
        <v>560</v>
      </c>
      <c r="D200" s="27">
        <v>2.9770000000000001E-2</v>
      </c>
      <c r="E200" s="28">
        <v>3149</v>
      </c>
      <c r="F200" s="28">
        <v>3506.2</v>
      </c>
      <c r="G200" s="29">
        <v>6.6840000000000002</v>
      </c>
    </row>
    <row r="201" spans="1:7" x14ac:dyDescent="0.2">
      <c r="A201" s="64" t="s">
        <v>80</v>
      </c>
      <c r="B201" s="20">
        <v>12000</v>
      </c>
      <c r="C201" s="26">
        <v>600</v>
      </c>
      <c r="D201" s="27">
        <v>3.1640000000000001E-2</v>
      </c>
      <c r="E201" s="28">
        <v>3228.7</v>
      </c>
      <c r="F201" s="28">
        <v>3608.3</v>
      </c>
      <c r="G201" s="29">
        <v>6.8037000000000001</v>
      </c>
    </row>
    <row r="202" spans="1:7" x14ac:dyDescent="0.2">
      <c r="A202" s="64" t="s">
        <v>80</v>
      </c>
      <c r="B202" s="20">
        <v>12000</v>
      </c>
      <c r="C202" s="26">
        <v>640</v>
      </c>
      <c r="D202" s="27">
        <v>3.3450000000000001E-2</v>
      </c>
      <c r="E202" s="28">
        <v>3307.5</v>
      </c>
      <c r="F202" s="28">
        <v>3709</v>
      </c>
      <c r="G202" s="29">
        <v>6.9164000000000003</v>
      </c>
    </row>
    <row r="203" spans="1:7" x14ac:dyDescent="0.2">
      <c r="A203" s="64" t="s">
        <v>80</v>
      </c>
      <c r="B203" s="20">
        <v>12000</v>
      </c>
      <c r="C203" s="26">
        <v>700</v>
      </c>
      <c r="D203" s="27">
        <v>3.61E-2</v>
      </c>
      <c r="E203" s="28">
        <v>3425.2</v>
      </c>
      <c r="F203" s="28">
        <v>3858.4</v>
      </c>
      <c r="G203" s="29">
        <v>7.0749000000000004</v>
      </c>
    </row>
    <row r="204" spans="1:7" x14ac:dyDescent="0.2">
      <c r="A204" s="65" t="s">
        <v>80</v>
      </c>
      <c r="B204" s="21">
        <v>12000</v>
      </c>
      <c r="C204" s="30">
        <v>740</v>
      </c>
      <c r="D204" s="31">
        <v>3.7810000000000003E-2</v>
      </c>
      <c r="E204" s="32">
        <v>3503.7</v>
      </c>
      <c r="F204" s="32">
        <v>3957.4</v>
      </c>
      <c r="G204" s="33">
        <v>7.1745999999999999</v>
      </c>
    </row>
    <row r="205" spans="1:7" x14ac:dyDescent="0.2">
      <c r="A205" s="66">
        <v>14000</v>
      </c>
      <c r="B205" s="17">
        <v>14000</v>
      </c>
      <c r="C205" s="26">
        <v>336.75</v>
      </c>
      <c r="D205" s="27">
        <v>1.149E-2</v>
      </c>
      <c r="E205" s="28">
        <v>2476.8000000000002</v>
      </c>
      <c r="F205" s="28">
        <v>2637.6</v>
      </c>
      <c r="G205" s="29">
        <v>5.3716999999999997</v>
      </c>
    </row>
    <row r="206" spans="1:7" x14ac:dyDescent="0.2">
      <c r="A206" s="66" t="s">
        <v>80</v>
      </c>
      <c r="B206" s="17">
        <v>14000</v>
      </c>
      <c r="C206" s="26">
        <v>360</v>
      </c>
      <c r="D206" s="27">
        <v>1.422E-2</v>
      </c>
      <c r="E206" s="28">
        <v>2617.4</v>
      </c>
      <c r="F206" s="28">
        <v>2816.5</v>
      </c>
      <c r="G206" s="29">
        <v>5.6601999999999997</v>
      </c>
    </row>
    <row r="207" spans="1:7" x14ac:dyDescent="0.2">
      <c r="A207" s="66" t="s">
        <v>80</v>
      </c>
      <c r="B207" s="17">
        <v>14000</v>
      </c>
      <c r="C207" s="26">
        <v>400</v>
      </c>
      <c r="D207" s="27">
        <v>1.7219999999999999E-2</v>
      </c>
      <c r="E207" s="28">
        <v>2760.9</v>
      </c>
      <c r="F207" s="28">
        <v>3001.9</v>
      </c>
      <c r="G207" s="29">
        <v>5.9447999999999999</v>
      </c>
    </row>
    <row r="208" spans="1:7" x14ac:dyDescent="0.2">
      <c r="A208" s="66" t="s">
        <v>80</v>
      </c>
      <c r="B208" s="17">
        <v>14000</v>
      </c>
      <c r="C208" s="26">
        <v>440</v>
      </c>
      <c r="D208" s="27">
        <v>1.9539999999999998E-2</v>
      </c>
      <c r="E208" s="28">
        <v>2868.6</v>
      </c>
      <c r="F208" s="28">
        <v>3142.2</v>
      </c>
      <c r="G208" s="29">
        <v>6.1474000000000002</v>
      </c>
    </row>
    <row r="209" spans="1:7" x14ac:dyDescent="0.2">
      <c r="A209" s="66" t="s">
        <v>80</v>
      </c>
      <c r="B209" s="17">
        <v>14000</v>
      </c>
      <c r="C209" s="26">
        <v>480</v>
      </c>
      <c r="D209" s="27">
        <v>2.1569999999999999E-2</v>
      </c>
      <c r="E209" s="28">
        <v>2962.5</v>
      </c>
      <c r="F209" s="28">
        <v>3264.5</v>
      </c>
      <c r="G209" s="29">
        <v>6.3143000000000002</v>
      </c>
    </row>
    <row r="210" spans="1:7" x14ac:dyDescent="0.2">
      <c r="A210" s="66" t="s">
        <v>80</v>
      </c>
      <c r="B210" s="17">
        <v>14000</v>
      </c>
      <c r="C210" s="26">
        <v>520</v>
      </c>
      <c r="D210" s="27">
        <v>2.3429999999999999E-2</v>
      </c>
      <c r="E210" s="28">
        <v>3049.8</v>
      </c>
      <c r="F210" s="28">
        <v>3377.8</v>
      </c>
      <c r="G210" s="29">
        <v>6.4610000000000003</v>
      </c>
    </row>
    <row r="211" spans="1:7" x14ac:dyDescent="0.2">
      <c r="A211" s="66" t="s">
        <v>80</v>
      </c>
      <c r="B211" s="17">
        <v>14000</v>
      </c>
      <c r="C211" s="26">
        <v>560</v>
      </c>
      <c r="D211" s="27">
        <v>2.5170000000000001E-2</v>
      </c>
      <c r="E211" s="28">
        <v>3133.6</v>
      </c>
      <c r="F211" s="28">
        <v>3486</v>
      </c>
      <c r="G211" s="29">
        <v>6.5941000000000001</v>
      </c>
    </row>
    <row r="212" spans="1:7" x14ac:dyDescent="0.2">
      <c r="A212" s="66" t="s">
        <v>80</v>
      </c>
      <c r="B212" s="17">
        <v>14000</v>
      </c>
      <c r="C212" s="26">
        <v>600</v>
      </c>
      <c r="D212" s="27">
        <v>2.683E-2</v>
      </c>
      <c r="E212" s="28">
        <v>3215.4</v>
      </c>
      <c r="F212" s="28">
        <v>3591.1</v>
      </c>
      <c r="G212" s="29">
        <v>6.7172000000000001</v>
      </c>
    </row>
    <row r="213" spans="1:7" x14ac:dyDescent="0.2">
      <c r="A213" s="66" t="s">
        <v>80</v>
      </c>
      <c r="B213" s="17">
        <v>14000</v>
      </c>
      <c r="C213" s="26">
        <v>640</v>
      </c>
      <c r="D213" s="27">
        <v>2.843E-2</v>
      </c>
      <c r="E213" s="28">
        <v>3296</v>
      </c>
      <c r="F213" s="28">
        <v>3694.1</v>
      </c>
      <c r="G213" s="29">
        <v>6.8326000000000002</v>
      </c>
    </row>
    <row r="214" spans="1:7" x14ac:dyDescent="0.2">
      <c r="A214" s="66" t="s">
        <v>80</v>
      </c>
      <c r="B214" s="17">
        <v>14000</v>
      </c>
      <c r="C214" s="26">
        <v>700</v>
      </c>
      <c r="D214" s="27">
        <v>3.075E-2</v>
      </c>
      <c r="E214" s="28">
        <v>3415.7</v>
      </c>
      <c r="F214" s="28">
        <v>3846.2</v>
      </c>
      <c r="G214" s="29">
        <v>6.9939</v>
      </c>
    </row>
    <row r="215" spans="1:7" x14ac:dyDescent="0.2">
      <c r="A215" s="66" t="s">
        <v>80</v>
      </c>
      <c r="B215" s="17">
        <v>14000</v>
      </c>
      <c r="C215" s="26">
        <v>740</v>
      </c>
      <c r="D215" s="27">
        <v>3.2250000000000001E-2</v>
      </c>
      <c r="E215" s="28">
        <v>3495.2</v>
      </c>
      <c r="F215" s="28">
        <v>3946.7</v>
      </c>
      <c r="G215" s="29">
        <v>7.0952000000000002</v>
      </c>
    </row>
    <row r="216" spans="1:7" x14ac:dyDescent="0.2">
      <c r="A216" s="63">
        <v>16000</v>
      </c>
      <c r="B216" s="19">
        <v>16000</v>
      </c>
      <c r="C216" s="22">
        <v>347.44</v>
      </c>
      <c r="D216" s="23">
        <v>9.3100000000000006E-3</v>
      </c>
      <c r="E216" s="24">
        <v>2431.6999999999998</v>
      </c>
      <c r="F216" s="24">
        <v>2580.6</v>
      </c>
      <c r="G216" s="25">
        <v>5.2454999999999998</v>
      </c>
    </row>
    <row r="217" spans="1:7" x14ac:dyDescent="0.2">
      <c r="A217" s="64" t="s">
        <v>80</v>
      </c>
      <c r="B217" s="20">
        <v>16000</v>
      </c>
      <c r="C217" s="26">
        <v>360</v>
      </c>
      <c r="D217" s="27">
        <v>1.1050000000000001E-2</v>
      </c>
      <c r="E217" s="28">
        <v>2539</v>
      </c>
      <c r="F217" s="28">
        <v>2715.8</v>
      </c>
      <c r="G217" s="29">
        <v>5.4614000000000003</v>
      </c>
    </row>
    <row r="218" spans="1:7" x14ac:dyDescent="0.2">
      <c r="A218" s="64" t="s">
        <v>80</v>
      </c>
      <c r="B218" s="20">
        <v>16000</v>
      </c>
      <c r="C218" s="26">
        <v>400</v>
      </c>
      <c r="D218" s="27">
        <v>1.426E-2</v>
      </c>
      <c r="E218" s="28">
        <v>2719.4</v>
      </c>
      <c r="F218" s="28">
        <v>2947.6</v>
      </c>
      <c r="G218" s="29">
        <v>5.8174999999999999</v>
      </c>
    </row>
    <row r="219" spans="1:7" x14ac:dyDescent="0.2">
      <c r="A219" s="64" t="s">
        <v>80</v>
      </c>
      <c r="B219" s="20">
        <v>16000</v>
      </c>
      <c r="C219" s="26">
        <v>440</v>
      </c>
      <c r="D219" s="27">
        <v>1.652E-2</v>
      </c>
      <c r="E219" s="28">
        <v>2839.4</v>
      </c>
      <c r="F219" s="28">
        <v>3103.7</v>
      </c>
      <c r="G219" s="29">
        <v>6.0429000000000004</v>
      </c>
    </row>
    <row r="220" spans="1:7" x14ac:dyDescent="0.2">
      <c r="A220" s="64" t="s">
        <v>80</v>
      </c>
      <c r="B220" s="20">
        <v>16000</v>
      </c>
      <c r="C220" s="26">
        <v>480</v>
      </c>
      <c r="D220" s="27">
        <v>1.8419999999999999E-2</v>
      </c>
      <c r="E220" s="28">
        <v>2939.7</v>
      </c>
      <c r="F220" s="28">
        <v>3234.4</v>
      </c>
      <c r="G220" s="29">
        <v>6.2214999999999998</v>
      </c>
    </row>
    <row r="221" spans="1:7" x14ac:dyDescent="0.2">
      <c r="A221" s="64" t="s">
        <v>80</v>
      </c>
      <c r="B221" s="20">
        <v>16000</v>
      </c>
      <c r="C221" s="26">
        <v>520</v>
      </c>
      <c r="D221" s="27">
        <v>2.0129999999999999E-2</v>
      </c>
      <c r="E221" s="28">
        <v>3031.1</v>
      </c>
      <c r="F221" s="28">
        <v>3353.3</v>
      </c>
      <c r="G221" s="29">
        <v>6.3752000000000004</v>
      </c>
    </row>
    <row r="222" spans="1:7" x14ac:dyDescent="0.2">
      <c r="A222" s="64" t="s">
        <v>80</v>
      </c>
      <c r="B222" s="20">
        <v>16000</v>
      </c>
      <c r="C222" s="26">
        <v>560</v>
      </c>
      <c r="D222" s="27">
        <v>2.172E-2</v>
      </c>
      <c r="E222" s="28">
        <v>3117.8</v>
      </c>
      <c r="F222" s="28">
        <v>3465.4</v>
      </c>
      <c r="G222" s="29">
        <v>6.5132000000000003</v>
      </c>
    </row>
    <row r="223" spans="1:7" x14ac:dyDescent="0.2">
      <c r="A223" s="64" t="s">
        <v>80</v>
      </c>
      <c r="B223" s="20">
        <v>16000</v>
      </c>
      <c r="C223" s="26">
        <v>600</v>
      </c>
      <c r="D223" s="27">
        <v>2.3230000000000001E-2</v>
      </c>
      <c r="E223" s="28">
        <v>3201.8</v>
      </c>
      <c r="F223" s="28">
        <v>3573.5</v>
      </c>
      <c r="G223" s="29">
        <v>6.6398999999999999</v>
      </c>
    </row>
    <row r="224" spans="1:7" x14ac:dyDescent="0.2">
      <c r="A224" s="64" t="s">
        <v>80</v>
      </c>
      <c r="B224" s="20">
        <v>16000</v>
      </c>
      <c r="C224" s="26">
        <v>640</v>
      </c>
      <c r="D224" s="27">
        <v>2.4670000000000001E-2</v>
      </c>
      <c r="E224" s="28">
        <v>3284.2</v>
      </c>
      <c r="F224" s="28">
        <v>3678.9</v>
      </c>
      <c r="G224" s="29">
        <v>6.758</v>
      </c>
    </row>
    <row r="225" spans="1:7" x14ac:dyDescent="0.2">
      <c r="A225" s="64" t="s">
        <v>80</v>
      </c>
      <c r="B225" s="20">
        <v>16000</v>
      </c>
      <c r="C225" s="26">
        <v>700</v>
      </c>
      <c r="D225" s="27">
        <v>2.674E-2</v>
      </c>
      <c r="E225" s="28">
        <v>3406</v>
      </c>
      <c r="F225" s="28">
        <v>3833.9</v>
      </c>
      <c r="G225" s="29">
        <v>6.9223999999999997</v>
      </c>
    </row>
    <row r="226" spans="1:7" x14ac:dyDescent="0.2">
      <c r="A226" s="65" t="s">
        <v>80</v>
      </c>
      <c r="B226" s="21">
        <v>16000</v>
      </c>
      <c r="C226" s="30">
        <v>740</v>
      </c>
      <c r="D226" s="31">
        <v>2.8080000000000001E-2</v>
      </c>
      <c r="E226" s="32">
        <v>3486.7</v>
      </c>
      <c r="F226" s="32">
        <v>3935.9</v>
      </c>
      <c r="G226" s="33">
        <v>7.0251000000000001</v>
      </c>
    </row>
    <row r="227" spans="1:7" x14ac:dyDescent="0.2">
      <c r="A227" s="66">
        <v>18000</v>
      </c>
      <c r="B227" s="17">
        <v>18000</v>
      </c>
      <c r="C227" s="26">
        <v>357.06</v>
      </c>
      <c r="D227" s="27">
        <v>7.4900000000000001E-3</v>
      </c>
      <c r="E227" s="28">
        <v>2374.3000000000002</v>
      </c>
      <c r="F227" s="28">
        <v>2509.1</v>
      </c>
      <c r="G227" s="29">
        <v>5.1044</v>
      </c>
    </row>
    <row r="228" spans="1:7" x14ac:dyDescent="0.2">
      <c r="A228" s="66" t="s">
        <v>80</v>
      </c>
      <c r="B228" s="17">
        <v>18000</v>
      </c>
      <c r="C228" s="26">
        <v>360</v>
      </c>
      <c r="D228" s="27">
        <v>8.09E-3</v>
      </c>
      <c r="E228" s="28">
        <v>2418.9</v>
      </c>
      <c r="F228" s="28">
        <v>2564.5</v>
      </c>
      <c r="G228" s="29">
        <v>5.1921999999999997</v>
      </c>
    </row>
    <row r="229" spans="1:7" x14ac:dyDescent="0.2">
      <c r="A229" s="66" t="s">
        <v>80</v>
      </c>
      <c r="B229" s="17">
        <v>18000</v>
      </c>
      <c r="C229" s="26">
        <v>400</v>
      </c>
      <c r="D229" s="27">
        <v>1.1900000000000001E-2</v>
      </c>
      <c r="E229" s="28">
        <v>2672.8</v>
      </c>
      <c r="F229" s="28">
        <v>2887</v>
      </c>
      <c r="G229" s="29">
        <v>5.6886999999999999</v>
      </c>
    </row>
    <row r="230" spans="1:7" x14ac:dyDescent="0.2">
      <c r="A230" s="66" t="s">
        <v>80</v>
      </c>
      <c r="B230" s="17">
        <v>18000</v>
      </c>
      <c r="C230" s="26">
        <v>440</v>
      </c>
      <c r="D230" s="27">
        <v>1.414E-2</v>
      </c>
      <c r="E230" s="28">
        <v>2808.2</v>
      </c>
      <c r="F230" s="28">
        <v>3062.8</v>
      </c>
      <c r="G230" s="29">
        <v>5.9428000000000001</v>
      </c>
    </row>
    <row r="231" spans="1:7" x14ac:dyDescent="0.2">
      <c r="A231" s="66" t="s">
        <v>80</v>
      </c>
      <c r="B231" s="17">
        <v>18000</v>
      </c>
      <c r="C231" s="26">
        <v>480</v>
      </c>
      <c r="D231" s="27">
        <v>1.5959999999999998E-2</v>
      </c>
      <c r="E231" s="28">
        <v>2915.9</v>
      </c>
      <c r="F231" s="28">
        <v>3203.2</v>
      </c>
      <c r="G231" s="29">
        <v>6.1345000000000001</v>
      </c>
    </row>
    <row r="232" spans="1:7" x14ac:dyDescent="0.2">
      <c r="A232" s="66" t="s">
        <v>80</v>
      </c>
      <c r="B232" s="17">
        <v>18000</v>
      </c>
      <c r="C232" s="26">
        <v>520</v>
      </c>
      <c r="D232" s="27">
        <v>1.7569999999999999E-2</v>
      </c>
      <c r="E232" s="28">
        <v>3011.8</v>
      </c>
      <c r="F232" s="28">
        <v>3378</v>
      </c>
      <c r="G232" s="29">
        <v>6.2960000000000003</v>
      </c>
    </row>
    <row r="233" spans="1:7" x14ac:dyDescent="0.2">
      <c r="A233" s="66" t="s">
        <v>80</v>
      </c>
      <c r="B233" s="17">
        <v>18000</v>
      </c>
      <c r="C233" s="26">
        <v>560</v>
      </c>
      <c r="D233" s="27">
        <v>1.9040000000000001E-2</v>
      </c>
      <c r="E233" s="28">
        <v>3101.7</v>
      </c>
      <c r="F233" s="28">
        <v>3444.4</v>
      </c>
      <c r="G233" s="29">
        <v>6.4391999999999996</v>
      </c>
    </row>
    <row r="234" spans="1:7" x14ac:dyDescent="0.2">
      <c r="A234" s="66" t="s">
        <v>80</v>
      </c>
      <c r="B234" s="17">
        <v>18000</v>
      </c>
      <c r="C234" s="26">
        <v>600</v>
      </c>
      <c r="D234" s="27">
        <v>2.0420000000000001E-2</v>
      </c>
      <c r="E234" s="28">
        <v>3188</v>
      </c>
      <c r="F234" s="28">
        <v>3555.6</v>
      </c>
      <c r="G234" s="29">
        <v>6.5696000000000003</v>
      </c>
    </row>
    <row r="235" spans="1:7" x14ac:dyDescent="0.2">
      <c r="A235" s="66" t="s">
        <v>80</v>
      </c>
      <c r="B235" s="17">
        <v>18000</v>
      </c>
      <c r="C235" s="26">
        <v>640</v>
      </c>
      <c r="D235" s="27">
        <v>2.1739999999999999E-2</v>
      </c>
      <c r="E235" s="28">
        <v>3272.3</v>
      </c>
      <c r="F235" s="28">
        <v>3663.6</v>
      </c>
      <c r="G235" s="29">
        <v>6.6905000000000001</v>
      </c>
    </row>
    <row r="236" spans="1:7" x14ac:dyDescent="0.2">
      <c r="A236" s="66" t="s">
        <v>80</v>
      </c>
      <c r="B236" s="17">
        <v>18000</v>
      </c>
      <c r="C236" s="26">
        <v>700</v>
      </c>
      <c r="D236" s="27">
        <v>2.3619999999999999E-2</v>
      </c>
      <c r="E236" s="28">
        <v>3396.3</v>
      </c>
      <c r="F236" s="28">
        <v>3821.5</v>
      </c>
      <c r="G236" s="29">
        <v>6.8579999999999997</v>
      </c>
    </row>
    <row r="237" spans="1:7" x14ac:dyDescent="0.2">
      <c r="A237" s="66" t="s">
        <v>80</v>
      </c>
      <c r="B237" s="17">
        <v>18000</v>
      </c>
      <c r="C237" s="26">
        <v>740</v>
      </c>
      <c r="D237" s="27">
        <v>2.4830000000000001E-2</v>
      </c>
      <c r="E237" s="28">
        <v>3478</v>
      </c>
      <c r="F237" s="28">
        <v>3925</v>
      </c>
      <c r="G237" s="29">
        <v>6.9622999999999999</v>
      </c>
    </row>
    <row r="238" spans="1:7" x14ac:dyDescent="0.2">
      <c r="A238" s="63">
        <v>20000</v>
      </c>
      <c r="B238" s="19">
        <v>20000</v>
      </c>
      <c r="C238" s="22">
        <v>365.81</v>
      </c>
      <c r="D238" s="23">
        <v>5.8300000000000001E-3</v>
      </c>
      <c r="E238" s="24">
        <v>2293</v>
      </c>
      <c r="F238" s="24">
        <v>2409.6999999999998</v>
      </c>
      <c r="G238" s="25">
        <v>4.9268999999999998</v>
      </c>
    </row>
    <row r="239" spans="1:7" x14ac:dyDescent="0.2">
      <c r="A239" s="64" t="s">
        <v>80</v>
      </c>
      <c r="B239" s="20">
        <v>20000</v>
      </c>
      <c r="C239" s="26">
        <v>400</v>
      </c>
      <c r="D239" s="27">
        <v>9.9399999999999992E-3</v>
      </c>
      <c r="E239" s="28">
        <v>2619.3000000000002</v>
      </c>
      <c r="F239" s="28">
        <v>2818.1</v>
      </c>
      <c r="G239" s="29">
        <v>5.5540000000000003</v>
      </c>
    </row>
    <row r="240" spans="1:7" x14ac:dyDescent="0.2">
      <c r="A240" s="64" t="s">
        <v>80</v>
      </c>
      <c r="B240" s="20">
        <v>20000</v>
      </c>
      <c r="C240" s="26">
        <v>440</v>
      </c>
      <c r="D240" s="27">
        <v>1.222E-2</v>
      </c>
      <c r="E240" s="28">
        <v>2774.9</v>
      </c>
      <c r="F240" s="28">
        <v>3019.4</v>
      </c>
      <c r="G240" s="29">
        <v>5.8449999999999998</v>
      </c>
    </row>
    <row r="241" spans="1:7" x14ac:dyDescent="0.2">
      <c r="A241" s="64" t="s">
        <v>80</v>
      </c>
      <c r="B241" s="20">
        <v>20000</v>
      </c>
      <c r="C241" s="26">
        <v>480</v>
      </c>
      <c r="D241" s="27">
        <v>1.3990000000000001E-2</v>
      </c>
      <c r="E241" s="28">
        <v>2891.2</v>
      </c>
      <c r="F241" s="28">
        <v>3170.8</v>
      </c>
      <c r="G241" s="29">
        <v>6.0518000000000001</v>
      </c>
    </row>
    <row r="242" spans="1:7" x14ac:dyDescent="0.2">
      <c r="A242" s="64" t="s">
        <v>80</v>
      </c>
      <c r="B242" s="20">
        <v>20000</v>
      </c>
      <c r="C242" s="26">
        <v>520</v>
      </c>
      <c r="D242" s="27">
        <v>1.5509999999999999E-2</v>
      </c>
      <c r="E242" s="28">
        <v>2992</v>
      </c>
      <c r="F242" s="28">
        <v>3302.2</v>
      </c>
      <c r="G242" s="29">
        <v>6.2218</v>
      </c>
    </row>
    <row r="243" spans="1:7" x14ac:dyDescent="0.2">
      <c r="A243" s="64" t="s">
        <v>80</v>
      </c>
      <c r="B243" s="20">
        <v>20000</v>
      </c>
      <c r="C243" s="26">
        <v>560</v>
      </c>
      <c r="D243" s="27">
        <v>1.6889999999999999E-2</v>
      </c>
      <c r="E243" s="28">
        <v>3085.2</v>
      </c>
      <c r="F243" s="28">
        <v>3423</v>
      </c>
      <c r="G243" s="29">
        <v>6.3704999999999998</v>
      </c>
    </row>
    <row r="244" spans="1:7" x14ac:dyDescent="0.2">
      <c r="A244" s="64" t="s">
        <v>80</v>
      </c>
      <c r="B244" s="20">
        <v>20000</v>
      </c>
      <c r="C244" s="26">
        <v>600</v>
      </c>
      <c r="D244" s="27">
        <v>1.8180000000000002E-2</v>
      </c>
      <c r="E244" s="28">
        <v>3174</v>
      </c>
      <c r="F244" s="28">
        <v>3537.6</v>
      </c>
      <c r="G244" s="29">
        <v>6.5048000000000004</v>
      </c>
    </row>
    <row r="245" spans="1:7" x14ac:dyDescent="0.2">
      <c r="A245" s="64" t="s">
        <v>80</v>
      </c>
      <c r="B245" s="20">
        <v>20000</v>
      </c>
      <c r="C245" s="26">
        <v>640</v>
      </c>
      <c r="D245" s="27">
        <v>1.9400000000000001E-2</v>
      </c>
      <c r="E245" s="28">
        <v>3260.2</v>
      </c>
      <c r="F245" s="28">
        <v>3648.1</v>
      </c>
      <c r="G245" s="29">
        <v>6.6285999999999996</v>
      </c>
    </row>
    <row r="246" spans="1:7" x14ac:dyDescent="0.2">
      <c r="A246" s="64" t="s">
        <v>80</v>
      </c>
      <c r="B246" s="20">
        <v>20000</v>
      </c>
      <c r="C246" s="26">
        <v>700</v>
      </c>
      <c r="D246" s="27">
        <v>2.1129999999999999E-2</v>
      </c>
      <c r="E246" s="28">
        <v>3386.4</v>
      </c>
      <c r="F246" s="28">
        <v>3809</v>
      </c>
      <c r="G246" s="29">
        <v>6.7992999999999997</v>
      </c>
    </row>
    <row r="247" spans="1:7" x14ac:dyDescent="0.2">
      <c r="A247" s="64" t="s">
        <v>80</v>
      </c>
      <c r="B247" s="20">
        <v>20000</v>
      </c>
      <c r="C247" s="26">
        <v>740</v>
      </c>
      <c r="D247" s="27">
        <v>2.2239999999999999E-2</v>
      </c>
      <c r="E247" s="28">
        <v>3469.3</v>
      </c>
      <c r="F247" s="28">
        <v>3914.1</v>
      </c>
      <c r="G247" s="29">
        <v>6.9051999999999998</v>
      </c>
    </row>
    <row r="248" spans="1:7" x14ac:dyDescent="0.2">
      <c r="A248" s="65" t="s">
        <v>80</v>
      </c>
      <c r="B248" s="21">
        <v>20000</v>
      </c>
      <c r="C248" s="30">
        <v>800</v>
      </c>
      <c r="D248" s="31">
        <v>2.385E-2</v>
      </c>
      <c r="E248" s="32">
        <v>3592.7</v>
      </c>
      <c r="F248" s="32">
        <v>4069.7</v>
      </c>
      <c r="G248" s="33">
        <v>7.0544000000000002</v>
      </c>
    </row>
    <row r="249" spans="1:7" x14ac:dyDescent="0.2">
      <c r="A249" s="66">
        <v>24000</v>
      </c>
      <c r="B249" s="17">
        <v>24000</v>
      </c>
      <c r="C249" s="26">
        <v>400</v>
      </c>
      <c r="D249" s="27">
        <v>6.7299999999999999E-3</v>
      </c>
      <c r="E249" s="28">
        <v>2477.8000000000002</v>
      </c>
      <c r="F249" s="28">
        <v>2639.4</v>
      </c>
      <c r="G249" s="29">
        <v>5.2393000000000001</v>
      </c>
    </row>
    <row r="250" spans="1:7" x14ac:dyDescent="0.2">
      <c r="A250" s="66" t="s">
        <v>80</v>
      </c>
      <c r="B250" s="17">
        <v>24000</v>
      </c>
      <c r="C250" s="26">
        <v>440</v>
      </c>
      <c r="D250" s="27">
        <v>9.2899999999999996E-3</v>
      </c>
      <c r="E250" s="28">
        <v>2700.6</v>
      </c>
      <c r="F250" s="28">
        <v>2923.4</v>
      </c>
      <c r="G250" s="29">
        <v>5.6505999999999998</v>
      </c>
    </row>
    <row r="251" spans="1:7" x14ac:dyDescent="0.2">
      <c r="A251" s="66" t="s">
        <v>80</v>
      </c>
      <c r="B251" s="17">
        <v>24000</v>
      </c>
      <c r="C251" s="26">
        <v>480</v>
      </c>
      <c r="D251" s="27">
        <v>1.0999999999999999E-2</v>
      </c>
      <c r="E251" s="28">
        <v>2838.3</v>
      </c>
      <c r="F251" s="28">
        <v>3102.3</v>
      </c>
      <c r="G251" s="29">
        <v>5.8949999999999996</v>
      </c>
    </row>
    <row r="252" spans="1:7" x14ac:dyDescent="0.2">
      <c r="A252" s="66" t="s">
        <v>80</v>
      </c>
      <c r="B252" s="17">
        <v>24000</v>
      </c>
      <c r="C252" s="26">
        <v>520</v>
      </c>
      <c r="D252" s="27">
        <v>1.2409999999999999E-2</v>
      </c>
      <c r="E252" s="28">
        <v>2950.5</v>
      </c>
      <c r="F252" s="28">
        <v>3248.5</v>
      </c>
      <c r="G252" s="29">
        <v>6.0842000000000001</v>
      </c>
    </row>
    <row r="253" spans="1:7" x14ac:dyDescent="0.2">
      <c r="A253" s="66" t="s">
        <v>80</v>
      </c>
      <c r="B253" s="17">
        <v>24000</v>
      </c>
      <c r="C253" s="26">
        <v>560</v>
      </c>
      <c r="D253" s="27">
        <v>1.366E-2</v>
      </c>
      <c r="E253" s="28">
        <v>3051.1</v>
      </c>
      <c r="F253" s="28">
        <v>3379</v>
      </c>
      <c r="G253" s="29">
        <v>6.2447999999999997</v>
      </c>
    </row>
    <row r="254" spans="1:7" x14ac:dyDescent="0.2">
      <c r="A254" s="66" t="s">
        <v>80</v>
      </c>
      <c r="B254" s="17">
        <v>24000</v>
      </c>
      <c r="C254" s="26">
        <v>600</v>
      </c>
      <c r="D254" s="27">
        <v>1.481E-2</v>
      </c>
      <c r="E254" s="28">
        <v>3145.2</v>
      </c>
      <c r="F254" s="28">
        <v>3500.7</v>
      </c>
      <c r="G254" s="29">
        <v>6.3875000000000002</v>
      </c>
    </row>
    <row r="255" spans="1:7" x14ac:dyDescent="0.2">
      <c r="A255" s="66" t="s">
        <v>80</v>
      </c>
      <c r="B255" s="17">
        <v>24000</v>
      </c>
      <c r="C255" s="26">
        <v>640</v>
      </c>
      <c r="D255" s="27">
        <v>1.5879999999999998E-2</v>
      </c>
      <c r="E255" s="28">
        <v>3235.5</v>
      </c>
      <c r="F255" s="28">
        <v>3616.7</v>
      </c>
      <c r="G255" s="29">
        <v>6.5174000000000003</v>
      </c>
    </row>
    <row r="256" spans="1:7" x14ac:dyDescent="0.2">
      <c r="A256" s="66" t="s">
        <v>80</v>
      </c>
      <c r="B256" s="17">
        <v>24000</v>
      </c>
      <c r="C256" s="26">
        <v>700</v>
      </c>
      <c r="D256" s="27">
        <v>1.7389999999999999E-2</v>
      </c>
      <c r="E256" s="28">
        <v>3366.4</v>
      </c>
      <c r="F256" s="28">
        <v>3783.8</v>
      </c>
      <c r="G256" s="29">
        <v>6.6947000000000001</v>
      </c>
    </row>
    <row r="257" spans="1:7" x14ac:dyDescent="0.2">
      <c r="A257" s="66" t="s">
        <v>80</v>
      </c>
      <c r="B257" s="17">
        <v>24000</v>
      </c>
      <c r="C257" s="26">
        <v>740</v>
      </c>
      <c r="D257" s="27">
        <v>1.8350000000000002E-2</v>
      </c>
      <c r="E257" s="28">
        <v>3451.7</v>
      </c>
      <c r="F257" s="28">
        <v>3892.1</v>
      </c>
      <c r="G257" s="29">
        <v>6.8037999999999998</v>
      </c>
    </row>
    <row r="258" spans="1:7" x14ac:dyDescent="0.2">
      <c r="A258" s="66" t="s">
        <v>80</v>
      </c>
      <c r="B258" s="17">
        <v>24000</v>
      </c>
      <c r="C258" s="26">
        <v>800</v>
      </c>
      <c r="D258" s="27">
        <v>1.9740000000000001E-2</v>
      </c>
      <c r="E258" s="28">
        <v>3578</v>
      </c>
      <c r="F258" s="28">
        <v>4051.6</v>
      </c>
      <c r="G258" s="29">
        <v>6.9566999999999997</v>
      </c>
    </row>
    <row r="259" spans="1:7" x14ac:dyDescent="0.2">
      <c r="A259" s="63">
        <v>28000</v>
      </c>
      <c r="B259" s="19">
        <v>28000</v>
      </c>
      <c r="C259" s="22">
        <v>400</v>
      </c>
      <c r="D259" s="23">
        <v>3.8300000000000001E-3</v>
      </c>
      <c r="E259" s="24">
        <v>2223.5</v>
      </c>
      <c r="F259" s="24">
        <v>2330.6999999999998</v>
      </c>
      <c r="G259" s="25">
        <v>4.7493999999999996</v>
      </c>
    </row>
    <row r="260" spans="1:7" x14ac:dyDescent="0.2">
      <c r="A260" s="64" t="s">
        <v>80</v>
      </c>
      <c r="B260" s="20">
        <v>28000</v>
      </c>
      <c r="C260" s="26">
        <v>440</v>
      </c>
      <c r="D260" s="27">
        <v>7.1199999999999996E-3</v>
      </c>
      <c r="E260" s="28">
        <v>2613.1999999999998</v>
      </c>
      <c r="F260" s="28">
        <v>2812.6</v>
      </c>
      <c r="G260" s="29">
        <v>5.4493999999999998</v>
      </c>
    </row>
    <row r="261" spans="1:7" x14ac:dyDescent="0.2">
      <c r="A261" s="64" t="s">
        <v>80</v>
      </c>
      <c r="B261" s="20">
        <v>28000</v>
      </c>
      <c r="C261" s="26">
        <v>480</v>
      </c>
      <c r="D261" s="27">
        <v>8.8500000000000002E-3</v>
      </c>
      <c r="E261" s="28">
        <v>2780.8</v>
      </c>
      <c r="F261" s="28">
        <v>3028.5</v>
      </c>
      <c r="G261" s="29">
        <v>5.7446000000000002</v>
      </c>
    </row>
    <row r="262" spans="1:7" x14ac:dyDescent="0.2">
      <c r="A262" s="64" t="s">
        <v>80</v>
      </c>
      <c r="B262" s="20">
        <v>28000</v>
      </c>
      <c r="C262" s="26">
        <v>520</v>
      </c>
      <c r="D262" s="27">
        <v>1.0200000000000001E-2</v>
      </c>
      <c r="E262" s="28">
        <v>2906.8</v>
      </c>
      <c r="F262" s="28">
        <v>3192.3</v>
      </c>
      <c r="G262" s="29">
        <v>5.9565999999999999</v>
      </c>
    </row>
    <row r="263" spans="1:7" x14ac:dyDescent="0.2">
      <c r="A263" s="64" t="s">
        <v>80</v>
      </c>
      <c r="B263" s="20">
        <v>28000</v>
      </c>
      <c r="C263" s="26">
        <v>560</v>
      </c>
      <c r="D263" s="27">
        <v>1.136E-2</v>
      </c>
      <c r="E263" s="28">
        <v>3015.7</v>
      </c>
      <c r="F263" s="28">
        <v>3333.7</v>
      </c>
      <c r="G263" s="29">
        <v>6.1307</v>
      </c>
    </row>
    <row r="264" spans="1:7" x14ac:dyDescent="0.2">
      <c r="A264" s="64" t="s">
        <v>80</v>
      </c>
      <c r="B264" s="20">
        <v>28000</v>
      </c>
      <c r="C264" s="26">
        <v>600</v>
      </c>
      <c r="D264" s="27">
        <v>1.2409999999999999E-2</v>
      </c>
      <c r="E264" s="28">
        <v>3115.6</v>
      </c>
      <c r="F264" s="28">
        <v>3463</v>
      </c>
      <c r="G264" s="29">
        <v>6.2823000000000002</v>
      </c>
    </row>
    <row r="265" spans="1:7" x14ac:dyDescent="0.2">
      <c r="A265" s="64" t="s">
        <v>80</v>
      </c>
      <c r="B265" s="20">
        <v>28000</v>
      </c>
      <c r="C265" s="26">
        <v>640</v>
      </c>
      <c r="D265" s="27">
        <v>1.338E-2</v>
      </c>
      <c r="E265" s="28">
        <v>3210.3</v>
      </c>
      <c r="F265" s="28">
        <v>3584.8</v>
      </c>
      <c r="G265" s="29">
        <v>6.4187000000000003</v>
      </c>
    </row>
    <row r="266" spans="1:7" x14ac:dyDescent="0.2">
      <c r="A266" s="64" t="s">
        <v>80</v>
      </c>
      <c r="B266" s="20">
        <v>28000</v>
      </c>
      <c r="C266" s="26">
        <v>700</v>
      </c>
      <c r="D266" s="27">
        <v>1.473E-2</v>
      </c>
      <c r="E266" s="28">
        <v>3346.1</v>
      </c>
      <c r="F266" s="28">
        <v>3758.4</v>
      </c>
      <c r="G266" s="29">
        <v>6.6029</v>
      </c>
    </row>
    <row r="267" spans="1:7" x14ac:dyDescent="0.2">
      <c r="A267" s="64" t="s">
        <v>80</v>
      </c>
      <c r="B267" s="20">
        <v>28000</v>
      </c>
      <c r="C267" s="26">
        <v>740</v>
      </c>
      <c r="D267" s="27">
        <v>1.558E-2</v>
      </c>
      <c r="E267" s="28">
        <v>3433.9</v>
      </c>
      <c r="F267" s="28">
        <v>3870</v>
      </c>
      <c r="G267" s="29">
        <v>6.7153</v>
      </c>
    </row>
    <row r="268" spans="1:7" x14ac:dyDescent="0.2">
      <c r="A268" s="64" t="s">
        <v>80</v>
      </c>
      <c r="B268" s="20">
        <v>28000</v>
      </c>
      <c r="C268" s="26">
        <v>800</v>
      </c>
      <c r="D268" s="27">
        <v>1.6799999999999999E-2</v>
      </c>
      <c r="E268" s="28">
        <v>3563.1</v>
      </c>
      <c r="F268" s="28">
        <v>4033.4</v>
      </c>
      <c r="G268" s="29">
        <v>6.8719999999999999</v>
      </c>
    </row>
    <row r="269" spans="1:7" x14ac:dyDescent="0.2">
      <c r="A269" s="65" t="s">
        <v>80</v>
      </c>
      <c r="B269" s="21">
        <v>28000</v>
      </c>
      <c r="C269" s="30">
        <v>900</v>
      </c>
      <c r="D269" s="31">
        <v>1.873E-2</v>
      </c>
      <c r="E269" s="32">
        <v>3774.3</v>
      </c>
      <c r="F269" s="32">
        <v>4298.8</v>
      </c>
      <c r="G269" s="33">
        <v>7.1083999999999996</v>
      </c>
    </row>
    <row r="270" spans="1:7" x14ac:dyDescent="0.2">
      <c r="A270" s="66">
        <v>32000</v>
      </c>
      <c r="B270" s="17">
        <v>32000</v>
      </c>
      <c r="C270" s="26">
        <v>400</v>
      </c>
      <c r="D270" s="27">
        <v>2.3600000000000001E-3</v>
      </c>
      <c r="E270" s="28">
        <v>1980.4</v>
      </c>
      <c r="F270" s="28">
        <v>2055.9</v>
      </c>
      <c r="G270" s="29">
        <v>4.3239000000000001</v>
      </c>
    </row>
    <row r="271" spans="1:7" x14ac:dyDescent="0.2">
      <c r="A271" s="66" t="s">
        <v>80</v>
      </c>
      <c r="B271" s="17">
        <v>32000</v>
      </c>
      <c r="C271" s="26">
        <v>440</v>
      </c>
      <c r="D271" s="27">
        <v>5.4400000000000004E-3</v>
      </c>
      <c r="E271" s="28">
        <v>2509</v>
      </c>
      <c r="F271" s="28">
        <v>2683</v>
      </c>
      <c r="G271" s="29">
        <v>5.2327000000000004</v>
      </c>
    </row>
    <row r="272" spans="1:7" x14ac:dyDescent="0.2">
      <c r="A272" s="66" t="s">
        <v>80</v>
      </c>
      <c r="B272" s="17">
        <v>32000</v>
      </c>
      <c r="C272" s="26">
        <v>480</v>
      </c>
      <c r="D272" s="27">
        <v>7.2199999999999999E-3</v>
      </c>
      <c r="E272" s="28">
        <v>2718.1</v>
      </c>
      <c r="F272" s="28">
        <v>2949.2</v>
      </c>
      <c r="G272" s="29">
        <v>5.5968</v>
      </c>
    </row>
    <row r="273" spans="1:7" x14ac:dyDescent="0.2">
      <c r="A273" s="66" t="s">
        <v>80</v>
      </c>
      <c r="B273" s="17">
        <v>32000</v>
      </c>
      <c r="C273" s="26">
        <v>520</v>
      </c>
      <c r="D273" s="27">
        <v>8.5299999999999994E-3</v>
      </c>
      <c r="E273" s="28">
        <v>2860.7</v>
      </c>
      <c r="F273" s="28">
        <v>3133.7</v>
      </c>
      <c r="G273" s="29">
        <v>5.8357000000000001</v>
      </c>
    </row>
    <row r="274" spans="1:7" x14ac:dyDescent="0.2">
      <c r="A274" s="66" t="s">
        <v>80</v>
      </c>
      <c r="B274" s="17">
        <v>32000</v>
      </c>
      <c r="C274" s="26">
        <v>560</v>
      </c>
      <c r="D274" s="27">
        <v>9.6299999999999997E-3</v>
      </c>
      <c r="E274" s="28">
        <v>2979</v>
      </c>
      <c r="F274" s="28">
        <v>3287.2</v>
      </c>
      <c r="G274" s="29">
        <v>6.0246000000000004</v>
      </c>
    </row>
    <row r="275" spans="1:7" x14ac:dyDescent="0.2">
      <c r="A275" s="66" t="s">
        <v>80</v>
      </c>
      <c r="B275" s="17">
        <v>32000</v>
      </c>
      <c r="C275" s="26">
        <v>600</v>
      </c>
      <c r="D275" s="27">
        <v>1.061E-2</v>
      </c>
      <c r="E275" s="28">
        <v>3085.3</v>
      </c>
      <c r="F275" s="28">
        <v>3424.6</v>
      </c>
      <c r="G275" s="29">
        <v>6.1858000000000004</v>
      </c>
    </row>
    <row r="276" spans="1:7" x14ac:dyDescent="0.2">
      <c r="A276" s="66" t="s">
        <v>80</v>
      </c>
      <c r="B276" s="17">
        <v>32000</v>
      </c>
      <c r="C276" s="26">
        <v>640</v>
      </c>
      <c r="D276" s="27">
        <v>1.15E-2</v>
      </c>
      <c r="E276" s="28">
        <v>3184.5</v>
      </c>
      <c r="F276" s="28">
        <v>3552.5</v>
      </c>
      <c r="G276" s="29">
        <v>6.3289999999999997</v>
      </c>
    </row>
    <row r="277" spans="1:7" x14ac:dyDescent="0.2">
      <c r="A277" s="66" t="s">
        <v>80</v>
      </c>
      <c r="B277" s="17">
        <v>32000</v>
      </c>
      <c r="C277" s="26">
        <v>700</v>
      </c>
      <c r="D277" s="27">
        <v>1.273E-2</v>
      </c>
      <c r="E277" s="28">
        <v>3325.4</v>
      </c>
      <c r="F277" s="28">
        <v>3732.8</v>
      </c>
      <c r="G277" s="29">
        <v>6.5202999999999998</v>
      </c>
    </row>
    <row r="278" spans="1:7" x14ac:dyDescent="0.2">
      <c r="A278" s="66" t="s">
        <v>80</v>
      </c>
      <c r="B278" s="17">
        <v>32000</v>
      </c>
      <c r="C278" s="26">
        <v>740</v>
      </c>
      <c r="D278" s="27">
        <v>1.35E-2</v>
      </c>
      <c r="E278" s="28">
        <v>3415.9</v>
      </c>
      <c r="F278" s="28">
        <v>3847.8</v>
      </c>
      <c r="G278" s="29">
        <v>6.6360999999999999</v>
      </c>
    </row>
    <row r="279" spans="1:7" x14ac:dyDescent="0.2">
      <c r="A279" s="66" t="s">
        <v>80</v>
      </c>
      <c r="B279" s="17">
        <v>32000</v>
      </c>
      <c r="C279" s="26">
        <v>800</v>
      </c>
      <c r="D279" s="27">
        <v>1.46E-2</v>
      </c>
      <c r="E279" s="28">
        <v>3548</v>
      </c>
      <c r="F279" s="28">
        <v>4015.1</v>
      </c>
      <c r="G279" s="29">
        <v>6.7965999999999998</v>
      </c>
    </row>
    <row r="280" spans="1:7" x14ac:dyDescent="0.2">
      <c r="A280" s="70" t="s">
        <v>80</v>
      </c>
      <c r="B280" s="18">
        <v>32000</v>
      </c>
      <c r="C280" s="30">
        <v>900</v>
      </c>
      <c r="D280" s="31">
        <v>1.6330000000000001E-2</v>
      </c>
      <c r="E280" s="32">
        <v>3762.7</v>
      </c>
      <c r="F280" s="32">
        <v>4285.1000000000004</v>
      </c>
      <c r="G280" s="33">
        <v>7.0372000000000003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showGridLines="0" workbookViewId="0"/>
  </sheetViews>
  <sheetFormatPr defaultRowHeight="11.25" x14ac:dyDescent="0.2"/>
  <cols>
    <col min="2" max="2" width="11.5" customWidth="1"/>
    <col min="5" max="5" width="10.5" customWidth="1"/>
    <col min="6" max="6" width="10.6640625" customWidth="1"/>
    <col min="7" max="7" width="10.1640625" customWidth="1"/>
    <col min="8" max="8" width="12.5" customWidth="1"/>
    <col min="13" max="13" width="11.1640625" customWidth="1"/>
    <col min="14" max="14" width="10.1640625" customWidth="1"/>
    <col min="15" max="15" width="10.6640625" customWidth="1"/>
    <col min="16" max="16" width="11.33203125" customWidth="1"/>
  </cols>
  <sheetData>
    <row r="1" spans="1:16" ht="15.75" x14ac:dyDescent="0.25">
      <c r="A1" s="10" t="s">
        <v>123</v>
      </c>
    </row>
    <row r="2" spans="1:16" ht="15.75" x14ac:dyDescent="0.25">
      <c r="A2" s="10" t="s">
        <v>82</v>
      </c>
    </row>
    <row r="3" spans="1:16" ht="15.75" x14ac:dyDescent="0.25">
      <c r="A3" s="74" t="s">
        <v>83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1"/>
    </row>
    <row r="4" spans="1:16" x14ac:dyDescent="0.2">
      <c r="A4" s="40">
        <v>157</v>
      </c>
      <c r="B4" s="36" t="s">
        <v>27</v>
      </c>
      <c r="C4" s="45" t="s">
        <v>27</v>
      </c>
      <c r="D4" s="45" t="s">
        <v>129</v>
      </c>
      <c r="E4" s="75" t="s">
        <v>31</v>
      </c>
      <c r="F4" s="76" t="s">
        <v>29</v>
      </c>
      <c r="G4" s="76" t="s">
        <v>30</v>
      </c>
      <c r="H4" s="77" t="s">
        <v>32</v>
      </c>
      <c r="I4" s="101" t="s">
        <v>126</v>
      </c>
      <c r="J4" s="50"/>
      <c r="K4" s="50"/>
      <c r="L4" s="50"/>
      <c r="M4" s="50"/>
      <c r="N4" s="50"/>
      <c r="O4" s="50"/>
      <c r="P4" s="51"/>
    </row>
    <row r="5" spans="1:16" x14ac:dyDescent="0.2">
      <c r="A5" s="40">
        <v>367</v>
      </c>
      <c r="B5" s="36" t="s">
        <v>129</v>
      </c>
      <c r="C5" s="79">
        <f>A4</f>
        <v>157</v>
      </c>
      <c r="D5" s="79">
        <f>D52</f>
        <v>367</v>
      </c>
      <c r="E5" s="80">
        <f t="shared" ref="E5:H5" si="0">E52</f>
        <v>1.9187485000000002</v>
      </c>
      <c r="F5" s="79">
        <f t="shared" si="0"/>
        <v>2914.5702666666666</v>
      </c>
      <c r="G5" s="79">
        <f t="shared" si="0"/>
        <v>3209.2926000000002</v>
      </c>
      <c r="H5" s="81">
        <f t="shared" si="0"/>
        <v>8.2363080500000017</v>
      </c>
      <c r="I5" s="101" t="s">
        <v>202</v>
      </c>
      <c r="J5" s="50"/>
      <c r="K5" s="50"/>
      <c r="L5" s="50"/>
      <c r="M5" s="50"/>
      <c r="N5" s="50"/>
      <c r="O5" s="50"/>
      <c r="P5" s="51"/>
    </row>
    <row r="6" spans="1:16" x14ac:dyDescent="0.2">
      <c r="A6" s="82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34"/>
    </row>
    <row r="7" spans="1:16" x14ac:dyDescent="0.2">
      <c r="A7" s="36">
        <f>MATCH(A4,SuperheatedSI!A:A)</f>
        <v>51</v>
      </c>
      <c r="B7" s="26" t="s">
        <v>85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4"/>
    </row>
    <row r="8" spans="1:16" x14ac:dyDescent="0.2">
      <c r="A8" s="36">
        <f>INDEX(SuperheatedSI!B:B,A7)</f>
        <v>150</v>
      </c>
      <c r="B8" s="26" t="s">
        <v>86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34"/>
    </row>
    <row r="9" spans="1:16" x14ac:dyDescent="0.2">
      <c r="A9" s="36">
        <f>COUNTIF(SuperheatedSI!B:B,A8)</f>
        <v>12</v>
      </c>
      <c r="B9" s="26" t="s">
        <v>87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34"/>
    </row>
    <row r="10" spans="1:16" x14ac:dyDescent="0.2">
      <c r="A10" s="36">
        <f>A7+A9</f>
        <v>63</v>
      </c>
      <c r="B10" s="26" t="s">
        <v>88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34"/>
    </row>
    <row r="11" spans="1:16" x14ac:dyDescent="0.2">
      <c r="A11" s="36">
        <f>INDEX(SuperheatedSI!B:B,A10)</f>
        <v>300</v>
      </c>
      <c r="B11" s="26" t="s">
        <v>89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34"/>
    </row>
    <row r="12" spans="1:16" x14ac:dyDescent="0.2">
      <c r="A12" s="36">
        <f>COUNTIF(SuperheatedSI!B:B,A11)</f>
        <v>11</v>
      </c>
      <c r="B12" s="26" t="s">
        <v>90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4"/>
    </row>
    <row r="13" spans="1:16" x14ac:dyDescent="0.2">
      <c r="A13" s="36" t="b">
        <f>AND(A8&lt;=A4,A11&gt;A4)</f>
        <v>1</v>
      </c>
      <c r="B13" s="26" t="s">
        <v>91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34"/>
    </row>
    <row r="14" spans="1:16" x14ac:dyDescent="0.2">
      <c r="A14" s="8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4"/>
    </row>
    <row r="15" spans="1:16" x14ac:dyDescent="0.2">
      <c r="A15" s="82"/>
      <c r="B15" s="46" t="s">
        <v>92</v>
      </c>
      <c r="C15" s="50"/>
      <c r="D15" s="47">
        <f>A8</f>
        <v>150</v>
      </c>
      <c r="E15" s="47" t="s">
        <v>222</v>
      </c>
      <c r="F15" s="50"/>
      <c r="G15" s="50"/>
      <c r="H15" s="51"/>
      <c r="I15" s="26"/>
      <c r="J15" s="46" t="s">
        <v>93</v>
      </c>
      <c r="K15" s="50"/>
      <c r="L15" s="47">
        <f>A11</f>
        <v>300</v>
      </c>
      <c r="M15" s="47" t="s">
        <v>222</v>
      </c>
      <c r="N15" s="50"/>
      <c r="O15" s="50"/>
      <c r="P15" s="51"/>
    </row>
    <row r="16" spans="1:16" x14ac:dyDescent="0.2">
      <c r="A16" s="45" t="s">
        <v>42</v>
      </c>
      <c r="B16" s="36" t="s">
        <v>94</v>
      </c>
      <c r="C16" s="36" t="s">
        <v>95</v>
      </c>
      <c r="D16" s="45" t="s">
        <v>129</v>
      </c>
      <c r="E16" s="75" t="s">
        <v>31</v>
      </c>
      <c r="F16" s="76" t="s">
        <v>29</v>
      </c>
      <c r="G16" s="76" t="s">
        <v>30</v>
      </c>
      <c r="H16" s="77" t="s">
        <v>32</v>
      </c>
      <c r="I16" s="26"/>
      <c r="J16" s="36" t="s">
        <v>94</v>
      </c>
      <c r="K16" s="36" t="s">
        <v>95</v>
      </c>
      <c r="L16" s="45" t="s">
        <v>129</v>
      </c>
      <c r="M16" s="75" t="s">
        <v>31</v>
      </c>
      <c r="N16" s="76" t="s">
        <v>29</v>
      </c>
      <c r="O16" s="76" t="s">
        <v>30</v>
      </c>
      <c r="P16" s="77" t="s">
        <v>32</v>
      </c>
    </row>
    <row r="17" spans="1:16" x14ac:dyDescent="0.2">
      <c r="A17" s="45">
        <v>1</v>
      </c>
      <c r="B17" s="83">
        <f>A7</f>
        <v>51</v>
      </c>
      <c r="C17" s="36" t="b">
        <f>ISNUMBER(B17)</f>
        <v>1</v>
      </c>
      <c r="D17" s="4">
        <f>IF($C17,INDEX(SuperheatedSI!C:C,$B17),"-")</f>
        <v>111.37</v>
      </c>
      <c r="E17" s="41">
        <f>IF($C17,INDEX(SuperheatedSI!D:D,$B17),"-")</f>
        <v>1.159</v>
      </c>
      <c r="F17" s="4">
        <f>IF($C17,INDEX(SuperheatedSI!E:E,$B17),"-")</f>
        <v>2519.6999999999998</v>
      </c>
      <c r="G17" s="4">
        <f>IF($C17,INDEX(SuperheatedSI!F:F,$B17),"-")</f>
        <v>2693.6</v>
      </c>
      <c r="H17" s="39">
        <f>IF($C17,INDEX(SuperheatedSI!G:G,$B17),"-")</f>
        <v>7.2233000000000001</v>
      </c>
      <c r="I17" s="26"/>
      <c r="J17" s="83">
        <f>A10</f>
        <v>63</v>
      </c>
      <c r="K17" s="36" t="b">
        <f>ISNUMBER(J17)</f>
        <v>1</v>
      </c>
      <c r="L17" s="4">
        <f>IF($K17,INDEX(SuperheatedSI!C:C,$J17),"-")</f>
        <v>133.55000000000001</v>
      </c>
      <c r="M17" s="41">
        <f>IF($K17,INDEX(SuperheatedSI!D:D,$J17),"-")</f>
        <v>0.60599999999999998</v>
      </c>
      <c r="N17" s="4">
        <f>IF($K17,INDEX(SuperheatedSI!E:E,$J17),"-")</f>
        <v>2543.6</v>
      </c>
      <c r="O17" s="4">
        <f>IF($K17,INDEX(SuperheatedSI!F:F,$J17),"-")</f>
        <v>2725.3</v>
      </c>
      <c r="P17" s="39">
        <f>IF($K17,INDEX(SuperheatedSI!G:G,$J17),"-")</f>
        <v>6.9919000000000002</v>
      </c>
    </row>
    <row r="18" spans="1:16" x14ac:dyDescent="0.2">
      <c r="A18" s="45">
        <v>2</v>
      </c>
      <c r="B18" s="36">
        <f>IF($A18&gt;$A$9,"-",B17+1)</f>
        <v>52</v>
      </c>
      <c r="C18" s="36" t="b">
        <f t="shared" ref="C18:C36" si="1">ISNUMBER(B18)</f>
        <v>1</v>
      </c>
      <c r="D18" s="4">
        <f>IF($C18,INDEX(SuperheatedSI!C:C,$B18),"-")</f>
        <v>120</v>
      </c>
      <c r="E18" s="41">
        <f>IF($C18,INDEX(SuperheatedSI!D:D,$B18),"-")</f>
        <v>1.1879999999999999</v>
      </c>
      <c r="F18" s="4">
        <f>IF($C18,INDEX(SuperheatedSI!E:E,$B18),"-")</f>
        <v>2533.3000000000002</v>
      </c>
      <c r="G18" s="4">
        <f>IF($C18,INDEX(SuperheatedSI!F:F,$B18),"-")</f>
        <v>2711.4</v>
      </c>
      <c r="H18" s="39">
        <f>IF($C18,INDEX(SuperheatedSI!G:G,$B18),"-")</f>
        <v>7.2693000000000003</v>
      </c>
      <c r="I18" s="26"/>
      <c r="J18" s="36">
        <f>IF($A18&gt;$A$12,"-",J17+1)</f>
        <v>64</v>
      </c>
      <c r="K18" s="36" t="b">
        <f t="shared" ref="K18:K36" si="2">ISNUMBER(J18)</f>
        <v>1</v>
      </c>
      <c r="L18" s="4">
        <f>IF($K18,INDEX(SuperheatedSI!C:C,$J18),"-")</f>
        <v>160</v>
      </c>
      <c r="M18" s="41">
        <f>IF($K18,INDEX(SuperheatedSI!D:D,$J18),"-")</f>
        <v>0.65100000000000002</v>
      </c>
      <c r="N18" s="4">
        <f>IF($K18,INDEX(SuperheatedSI!E:E,$J18),"-")</f>
        <v>2587.1</v>
      </c>
      <c r="O18" s="4">
        <f>IF($K18,INDEX(SuperheatedSI!F:F,$J18),"-")</f>
        <v>2782.3</v>
      </c>
      <c r="P18" s="39">
        <f>IF($K18,INDEX(SuperheatedSI!G:G,$J18),"-")</f>
        <v>7.1276000000000002</v>
      </c>
    </row>
    <row r="19" spans="1:16" x14ac:dyDescent="0.2">
      <c r="A19" s="45">
        <v>3</v>
      </c>
      <c r="B19" s="36">
        <f t="shared" ref="B19:B36" si="3">IF($A19&gt;$A$9,"-",B18+1)</f>
        <v>53</v>
      </c>
      <c r="C19" s="36" t="b">
        <f t="shared" si="1"/>
        <v>1</v>
      </c>
      <c r="D19" s="4">
        <f>IF($C19,INDEX(SuperheatedSI!C:C,$B19),"-")</f>
        <v>160</v>
      </c>
      <c r="E19" s="41">
        <f>IF($C19,INDEX(SuperheatedSI!D:D,$B19),"-")</f>
        <v>1.3169999999999999</v>
      </c>
      <c r="F19" s="4">
        <f>IF($C19,INDEX(SuperheatedSI!E:E,$B19),"-")</f>
        <v>2595.1999999999998</v>
      </c>
      <c r="G19" s="4">
        <f>IF($C19,INDEX(SuperheatedSI!F:F,$B19),"-")</f>
        <v>2792.8</v>
      </c>
      <c r="H19" s="39">
        <f>IF($C19,INDEX(SuperheatedSI!G:G,$B19),"-")</f>
        <v>7.4664999999999999</v>
      </c>
      <c r="I19" s="26"/>
      <c r="J19" s="36">
        <f t="shared" ref="J19:J36" si="4">IF($A19&gt;$A$12,"-",J18+1)</f>
        <v>65</v>
      </c>
      <c r="K19" s="36" t="b">
        <f t="shared" si="2"/>
        <v>1</v>
      </c>
      <c r="L19" s="4">
        <f>IF($K19,INDEX(SuperheatedSI!C:C,$J19),"-")</f>
        <v>200</v>
      </c>
      <c r="M19" s="41">
        <f>IF($K19,INDEX(SuperheatedSI!D:D,$J19),"-")</f>
        <v>0.71599999999999997</v>
      </c>
      <c r="N19" s="4">
        <f>IF($K19,INDEX(SuperheatedSI!E:E,$J19),"-")</f>
        <v>2650.7</v>
      </c>
      <c r="O19" s="4">
        <f>IF($K19,INDEX(SuperheatedSI!F:F,$J19),"-")</f>
        <v>2865.5</v>
      </c>
      <c r="P19" s="39">
        <f>IF($K19,INDEX(SuperheatedSI!G:G,$J19),"-")</f>
        <v>7.3114999999999997</v>
      </c>
    </row>
    <row r="20" spans="1:16" x14ac:dyDescent="0.2">
      <c r="A20" s="45">
        <v>4</v>
      </c>
      <c r="B20" s="36">
        <f t="shared" si="3"/>
        <v>54</v>
      </c>
      <c r="C20" s="36" t="b">
        <f t="shared" si="1"/>
        <v>1</v>
      </c>
      <c r="D20" s="4">
        <f>IF($C20,INDEX(SuperheatedSI!C:C,$B20),"-")</f>
        <v>200</v>
      </c>
      <c r="E20" s="41">
        <f>IF($C20,INDEX(SuperheatedSI!D:D,$B20),"-")</f>
        <v>1.444</v>
      </c>
      <c r="F20" s="4">
        <f>IF($C20,INDEX(SuperheatedSI!E:E,$B20),"-")</f>
        <v>2656.2</v>
      </c>
      <c r="G20" s="4">
        <f>IF($C20,INDEX(SuperheatedSI!F:F,$B20),"-")</f>
        <v>2872.9</v>
      </c>
      <c r="H20" s="39">
        <f>IF($C20,INDEX(SuperheatedSI!G:G,$B20),"-")</f>
        <v>7.6433</v>
      </c>
      <c r="I20" s="26"/>
      <c r="J20" s="36">
        <f t="shared" si="4"/>
        <v>66</v>
      </c>
      <c r="K20" s="36" t="b">
        <f t="shared" si="2"/>
        <v>1</v>
      </c>
      <c r="L20" s="4">
        <f>IF($K20,INDEX(SuperheatedSI!C:C,$J20),"-")</f>
        <v>240</v>
      </c>
      <c r="M20" s="41">
        <f>IF($K20,INDEX(SuperheatedSI!D:D,$J20),"-")</f>
        <v>0.78100000000000003</v>
      </c>
      <c r="N20" s="4">
        <f>IF($K20,INDEX(SuperheatedSI!E:E,$J20),"-")</f>
        <v>2713.1</v>
      </c>
      <c r="O20" s="4">
        <f>IF($K20,INDEX(SuperheatedSI!F:F,$J20),"-")</f>
        <v>2947.3</v>
      </c>
      <c r="P20" s="39">
        <f>IF($K20,INDEX(SuperheatedSI!G:G,$J20),"-")</f>
        <v>7.4774000000000003</v>
      </c>
    </row>
    <row r="21" spans="1:16" x14ac:dyDescent="0.2">
      <c r="A21" s="45">
        <v>5</v>
      </c>
      <c r="B21" s="36">
        <f t="shared" si="3"/>
        <v>55</v>
      </c>
      <c r="C21" s="36" t="b">
        <f t="shared" si="1"/>
        <v>1</v>
      </c>
      <c r="D21" s="4">
        <f>IF($C21,INDEX(SuperheatedSI!C:C,$B21),"-")</f>
        <v>240</v>
      </c>
      <c r="E21" s="41">
        <f>IF($C21,INDEX(SuperheatedSI!D:D,$B21),"-")</f>
        <v>1.57</v>
      </c>
      <c r="F21" s="4">
        <f>IF($C21,INDEX(SuperheatedSI!E:E,$B21),"-")</f>
        <v>2717.2</v>
      </c>
      <c r="G21" s="4">
        <f>IF($C21,INDEX(SuperheatedSI!F:F,$B21),"-")</f>
        <v>2952.7</v>
      </c>
      <c r="H21" s="39">
        <f>IF($C21,INDEX(SuperheatedSI!G:G,$B21),"-")</f>
        <v>7.8052000000000001</v>
      </c>
      <c r="I21" s="26"/>
      <c r="J21" s="36">
        <f t="shared" si="4"/>
        <v>67</v>
      </c>
      <c r="K21" s="36" t="b">
        <f t="shared" si="2"/>
        <v>1</v>
      </c>
      <c r="L21" s="4">
        <f>IF($K21,INDEX(SuperheatedSI!C:C,$J21),"-")</f>
        <v>280</v>
      </c>
      <c r="M21" s="41">
        <f>IF($K21,INDEX(SuperheatedSI!D:D,$J21),"-")</f>
        <v>0.84399999999999997</v>
      </c>
      <c r="N21" s="4">
        <f>IF($K21,INDEX(SuperheatedSI!E:E,$J21),"-")</f>
        <v>2775.4</v>
      </c>
      <c r="O21" s="4">
        <f>IF($K21,INDEX(SuperheatedSI!F:F,$J21),"-")</f>
        <v>3028.6</v>
      </c>
      <c r="P21" s="39">
        <f>IF($K21,INDEX(SuperheatedSI!G:G,$J21),"-")</f>
        <v>7.6299000000000001</v>
      </c>
    </row>
    <row r="22" spans="1:16" x14ac:dyDescent="0.2">
      <c r="A22" s="45">
        <v>6</v>
      </c>
      <c r="B22" s="36">
        <f t="shared" si="3"/>
        <v>56</v>
      </c>
      <c r="C22" s="36" t="b">
        <f t="shared" si="1"/>
        <v>1</v>
      </c>
      <c r="D22" s="4">
        <f>IF($C22,INDEX(SuperheatedSI!C:C,$B22),"-")</f>
        <v>280</v>
      </c>
      <c r="E22" s="41">
        <f>IF($C22,INDEX(SuperheatedSI!D:D,$B22),"-")</f>
        <v>1.6950000000000001</v>
      </c>
      <c r="F22" s="4">
        <f>IF($C22,INDEX(SuperheatedSI!E:E,$B22),"-")</f>
        <v>2778.6</v>
      </c>
      <c r="G22" s="4">
        <f>IF($C22,INDEX(SuperheatedSI!F:F,$B22),"-")</f>
        <v>3032.8</v>
      </c>
      <c r="H22" s="39">
        <f>IF($C22,INDEX(SuperheatedSI!G:G,$B22),"-")</f>
        <v>7.9554999999999998</v>
      </c>
      <c r="I22" s="26"/>
      <c r="J22" s="36">
        <f t="shared" si="4"/>
        <v>68</v>
      </c>
      <c r="K22" s="36" t="b">
        <f t="shared" si="2"/>
        <v>1</v>
      </c>
      <c r="L22" s="4">
        <f>IF($K22,INDEX(SuperheatedSI!C:C,$J22),"-")</f>
        <v>320</v>
      </c>
      <c r="M22" s="41">
        <f>IF($K22,INDEX(SuperheatedSI!D:D,$J22),"-")</f>
        <v>0.90700000000000003</v>
      </c>
      <c r="N22" s="4">
        <f>IF($K22,INDEX(SuperheatedSI!E:E,$J22),"-")</f>
        <v>2838.1</v>
      </c>
      <c r="O22" s="4">
        <f>IF($K22,INDEX(SuperheatedSI!F:F,$J22),"-")</f>
        <v>3110.1</v>
      </c>
      <c r="P22" s="39">
        <f>IF($K22,INDEX(SuperheatedSI!G:G,$J22),"-")</f>
        <v>7.7721999999999998</v>
      </c>
    </row>
    <row r="23" spans="1:16" x14ac:dyDescent="0.2">
      <c r="A23" s="45">
        <v>7</v>
      </c>
      <c r="B23" s="36">
        <f t="shared" si="3"/>
        <v>57</v>
      </c>
      <c r="C23" s="36" t="b">
        <f t="shared" si="1"/>
        <v>1</v>
      </c>
      <c r="D23" s="4">
        <f>IF($C23,INDEX(SuperheatedSI!C:C,$B23),"-")</f>
        <v>320</v>
      </c>
      <c r="E23" s="41">
        <f>IF($C23,INDEX(SuperheatedSI!D:D,$B23),"-")</f>
        <v>1.819</v>
      </c>
      <c r="F23" s="4">
        <f>IF($C23,INDEX(SuperheatedSI!E:E,$B23),"-")</f>
        <v>2840.6</v>
      </c>
      <c r="G23" s="4">
        <f>IF($C23,INDEX(SuperheatedSI!F:F,$B23),"-")</f>
        <v>3113.5</v>
      </c>
      <c r="H23" s="39">
        <f>IF($C23,INDEX(SuperheatedSI!G:G,$B23),"-")</f>
        <v>8.0963999999999992</v>
      </c>
      <c r="I23" s="26"/>
      <c r="J23" s="36">
        <f t="shared" si="4"/>
        <v>69</v>
      </c>
      <c r="K23" s="36" t="b">
        <f t="shared" si="2"/>
        <v>1</v>
      </c>
      <c r="L23" s="4">
        <f>IF($K23,INDEX(SuperheatedSI!C:C,$J23),"-")</f>
        <v>360</v>
      </c>
      <c r="M23" s="41">
        <f>IF($K23,INDEX(SuperheatedSI!D:D,$J23),"-")</f>
        <v>0.96899999999999997</v>
      </c>
      <c r="N23" s="4">
        <f>IF($K23,INDEX(SuperheatedSI!E:E,$J23),"-")</f>
        <v>2901.4</v>
      </c>
      <c r="O23" s="4">
        <f>IF($K23,INDEX(SuperheatedSI!F:F,$J23),"-")</f>
        <v>3192.2</v>
      </c>
      <c r="P23" s="39">
        <f>IF($K23,INDEX(SuperheatedSI!G:G,$J23),"-")</f>
        <v>7.9061000000000003</v>
      </c>
    </row>
    <row r="24" spans="1:16" x14ac:dyDescent="0.2">
      <c r="A24" s="45">
        <v>8</v>
      </c>
      <c r="B24" s="36">
        <f t="shared" si="3"/>
        <v>58</v>
      </c>
      <c r="C24" s="36" t="b">
        <f t="shared" si="1"/>
        <v>1</v>
      </c>
      <c r="D24" s="4">
        <f>IF($C24,INDEX(SuperheatedSI!C:C,$B24),"-")</f>
        <v>360</v>
      </c>
      <c r="E24" s="41">
        <f>IF($C24,INDEX(SuperheatedSI!D:D,$B24),"-")</f>
        <v>1.9430000000000001</v>
      </c>
      <c r="F24" s="4">
        <f>IF($C24,INDEX(SuperheatedSI!E:E,$B24),"-")</f>
        <v>2903.5</v>
      </c>
      <c r="G24" s="4">
        <f>IF($C24,INDEX(SuperheatedSI!F:F,$B24),"-")</f>
        <v>3195</v>
      </c>
      <c r="H24" s="39">
        <f>IF($C24,INDEX(SuperheatedSI!G:G,$B24),"-")</f>
        <v>8.2293000000000003</v>
      </c>
      <c r="I24" s="26"/>
      <c r="J24" s="36">
        <f t="shared" si="4"/>
        <v>70</v>
      </c>
      <c r="K24" s="36" t="b">
        <f t="shared" si="2"/>
        <v>1</v>
      </c>
      <c r="L24" s="4">
        <f>IF($K24,INDEX(SuperheatedSI!C:C,$J24),"-")</f>
        <v>400</v>
      </c>
      <c r="M24" s="41">
        <f>IF($K24,INDEX(SuperheatedSI!D:D,$J24),"-")</f>
        <v>1.032</v>
      </c>
      <c r="N24" s="4">
        <f>IF($K24,INDEX(SuperheatedSI!E:E,$J24),"-")</f>
        <v>2965.6</v>
      </c>
      <c r="O24" s="4">
        <f>IF($K24,INDEX(SuperheatedSI!F:F,$J24),"-")</f>
        <v>3275</v>
      </c>
      <c r="P24" s="39">
        <f>IF($K24,INDEX(SuperheatedSI!G:G,$J24),"-")</f>
        <v>8.0329999999999995</v>
      </c>
    </row>
    <row r="25" spans="1:16" x14ac:dyDescent="0.2">
      <c r="A25" s="45">
        <v>9</v>
      </c>
      <c r="B25" s="36">
        <f t="shared" si="3"/>
        <v>59</v>
      </c>
      <c r="C25" s="36" t="b">
        <f t="shared" si="1"/>
        <v>1</v>
      </c>
      <c r="D25" s="4">
        <f>IF($C25,INDEX(SuperheatedSI!C:C,$B25),"-")</f>
        <v>400</v>
      </c>
      <c r="E25" s="41">
        <f>IF($C25,INDEX(SuperheatedSI!D:D,$B25),"-")</f>
        <v>2.0670000000000002</v>
      </c>
      <c r="F25" s="4">
        <f>IF($C25,INDEX(SuperheatedSI!E:E,$B25),"-")</f>
        <v>2967.3</v>
      </c>
      <c r="G25" s="4">
        <f>IF($C25,INDEX(SuperheatedSI!F:F,$B25),"-")</f>
        <v>3277.4</v>
      </c>
      <c r="H25" s="39">
        <f>IF($C25,INDEX(SuperheatedSI!G:G,$B25),"-")</f>
        <v>8.3554999999999993</v>
      </c>
      <c r="I25" s="26"/>
      <c r="J25" s="36">
        <f t="shared" si="4"/>
        <v>71</v>
      </c>
      <c r="K25" s="36" t="b">
        <f t="shared" si="2"/>
        <v>1</v>
      </c>
      <c r="L25" s="4">
        <f>IF($K25,INDEX(SuperheatedSI!C:C,$J25),"-")</f>
        <v>440</v>
      </c>
      <c r="M25" s="41">
        <f>IF($K25,INDEX(SuperheatedSI!D:D,$J25),"-")</f>
        <v>1.0940000000000001</v>
      </c>
      <c r="N25" s="4">
        <f>IF($K25,INDEX(SuperheatedSI!E:E,$J25),"-")</f>
        <v>3030.6</v>
      </c>
      <c r="O25" s="4">
        <f>IF($K25,INDEX(SuperheatedSI!F:F,$J25),"-")</f>
        <v>3358.7</v>
      </c>
      <c r="P25" s="39">
        <f>IF($K25,INDEX(SuperheatedSI!G:G,$J25),"-")</f>
        <v>8.1538000000000004</v>
      </c>
    </row>
    <row r="26" spans="1:16" x14ac:dyDescent="0.2">
      <c r="A26" s="45">
        <v>10</v>
      </c>
      <c r="B26" s="36">
        <f t="shared" si="3"/>
        <v>60</v>
      </c>
      <c r="C26" s="36" t="b">
        <f t="shared" si="1"/>
        <v>1</v>
      </c>
      <c r="D26" s="4">
        <f>IF($C26,INDEX(SuperheatedSI!C:C,$B26),"-")</f>
        <v>440</v>
      </c>
      <c r="E26" s="41">
        <f>IF($C26,INDEX(SuperheatedSI!D:D,$B26),"-")</f>
        <v>2.1909999999999998</v>
      </c>
      <c r="F26" s="4">
        <f>IF($C26,INDEX(SuperheatedSI!E:E,$B26),"-")</f>
        <v>3032.1</v>
      </c>
      <c r="G26" s="4">
        <f>IF($C26,INDEX(SuperheatedSI!F:F,$B26),"-")</f>
        <v>3360.7</v>
      </c>
      <c r="H26" s="39">
        <f>IF($C26,INDEX(SuperheatedSI!G:G,$B26),"-")</f>
        <v>8.4756999999999998</v>
      </c>
      <c r="I26" s="26"/>
      <c r="J26" s="36">
        <f t="shared" si="4"/>
        <v>72</v>
      </c>
      <c r="K26" s="36" t="b">
        <f t="shared" si="2"/>
        <v>1</v>
      </c>
      <c r="L26" s="4">
        <f>IF($K26,INDEX(SuperheatedSI!C:C,$J26),"-")</f>
        <v>500</v>
      </c>
      <c r="M26" s="41">
        <f>IF($K26,INDEX(SuperheatedSI!D:D,$J26),"-")</f>
        <v>1.1870000000000001</v>
      </c>
      <c r="N26" s="4">
        <f>IF($K26,INDEX(SuperheatedSI!E:E,$J26),"-")</f>
        <v>3130</v>
      </c>
      <c r="O26" s="4">
        <f>IF($K26,INDEX(SuperheatedSI!F:F,$J26),"-")</f>
        <v>3486</v>
      </c>
      <c r="P26" s="39">
        <f>IF($K26,INDEX(SuperheatedSI!G:G,$J26),"-")</f>
        <v>8.3251000000000008</v>
      </c>
    </row>
    <row r="27" spans="1:16" x14ac:dyDescent="0.2">
      <c r="A27" s="45">
        <v>11</v>
      </c>
      <c r="B27" s="36">
        <f t="shared" si="3"/>
        <v>61</v>
      </c>
      <c r="C27" s="36" t="b">
        <f t="shared" si="1"/>
        <v>1</v>
      </c>
      <c r="D27" s="4">
        <f>IF($C27,INDEX(SuperheatedSI!C:C,$B27),"-")</f>
        <v>500</v>
      </c>
      <c r="E27" s="41">
        <f>IF($C27,INDEX(SuperheatedSI!D:D,$B27),"-")</f>
        <v>2.3759999999999999</v>
      </c>
      <c r="F27" s="4">
        <f>IF($C27,INDEX(SuperheatedSI!E:E,$B27),"-")</f>
        <v>3131.2</v>
      </c>
      <c r="G27" s="4">
        <f>IF($C27,INDEX(SuperheatedSI!F:F,$B27),"-")</f>
        <v>3487.6</v>
      </c>
      <c r="H27" s="39">
        <f>IF($C27,INDEX(SuperheatedSI!G:G,$B27),"-")</f>
        <v>8.6465999999999994</v>
      </c>
      <c r="I27" s="26"/>
      <c r="J27" s="36">
        <f t="shared" si="4"/>
        <v>73</v>
      </c>
      <c r="K27" s="36" t="b">
        <f t="shared" si="2"/>
        <v>1</v>
      </c>
      <c r="L27" s="4">
        <f>IF($K27,INDEX(SuperheatedSI!C:C,$J27),"-")</f>
        <v>600</v>
      </c>
      <c r="M27" s="41">
        <f>IF($K27,INDEX(SuperheatedSI!D:D,$J27),"-")</f>
        <v>1.341</v>
      </c>
      <c r="N27" s="4">
        <f>IF($K27,INDEX(SuperheatedSI!E:E,$J27),"-")</f>
        <v>3300.8</v>
      </c>
      <c r="O27" s="4">
        <f>IF($K27,INDEX(SuperheatedSI!F:F,$J27),"-")</f>
        <v>3703.2</v>
      </c>
      <c r="P27" s="39">
        <f>IF($K27,INDEX(SuperheatedSI!G:G,$J27),"-")</f>
        <v>8.5891999999999999</v>
      </c>
    </row>
    <row r="28" spans="1:16" x14ac:dyDescent="0.2">
      <c r="A28" s="45">
        <v>12</v>
      </c>
      <c r="B28" s="36">
        <f t="shared" si="3"/>
        <v>62</v>
      </c>
      <c r="C28" s="36" t="b">
        <f t="shared" si="1"/>
        <v>1</v>
      </c>
      <c r="D28" s="4">
        <f>IF($C28,INDEX(SuperheatedSI!C:C,$B28),"-")</f>
        <v>600</v>
      </c>
      <c r="E28" s="41">
        <f>IF($C28,INDEX(SuperheatedSI!D:D,$B28),"-")</f>
        <v>2.6850000000000001</v>
      </c>
      <c r="F28" s="4">
        <f>IF($C28,INDEX(SuperheatedSI!E:E,$B28),"-")</f>
        <v>3301.7</v>
      </c>
      <c r="G28" s="4">
        <f>IF($C28,INDEX(SuperheatedSI!F:F,$B28),"-")</f>
        <v>3704.3</v>
      </c>
      <c r="H28" s="39">
        <f>IF($C28,INDEX(SuperheatedSI!G:G,$B28),"-")</f>
        <v>8.9100999999999999</v>
      </c>
      <c r="I28" s="26"/>
      <c r="J28" s="36" t="str">
        <f t="shared" si="4"/>
        <v>-</v>
      </c>
      <c r="K28" s="36" t="b">
        <f t="shared" si="2"/>
        <v>0</v>
      </c>
      <c r="L28" s="4" t="str">
        <f>IF($K28,INDEX(SuperheatedSI!C:C,$J28),"-")</f>
        <v>-</v>
      </c>
      <c r="M28" s="41" t="str">
        <f>IF($K28,INDEX(SuperheatedSI!D:D,$J28),"-")</f>
        <v>-</v>
      </c>
      <c r="N28" s="4" t="str">
        <f>IF($K28,INDEX(SuperheatedSI!E:E,$J28),"-")</f>
        <v>-</v>
      </c>
      <c r="O28" s="4" t="str">
        <f>IF($K28,INDEX(SuperheatedSI!F:F,$J28),"-")</f>
        <v>-</v>
      </c>
      <c r="P28" s="39" t="str">
        <f>IF($K28,INDEX(SuperheatedSI!G:G,$J28),"-")</f>
        <v>-</v>
      </c>
    </row>
    <row r="29" spans="1:16" x14ac:dyDescent="0.2">
      <c r="A29" s="45">
        <v>13</v>
      </c>
      <c r="B29" s="36" t="str">
        <f t="shared" si="3"/>
        <v>-</v>
      </c>
      <c r="C29" s="36" t="b">
        <f t="shared" si="1"/>
        <v>0</v>
      </c>
      <c r="D29" s="4" t="str">
        <f>IF($C29,INDEX(SuperheatedSI!C:C,$B29),"-")</f>
        <v>-</v>
      </c>
      <c r="E29" s="41" t="str">
        <f>IF($C29,INDEX(SuperheatedSI!D:D,$B29),"-")</f>
        <v>-</v>
      </c>
      <c r="F29" s="4" t="str">
        <f>IF($C29,INDEX(SuperheatedSI!E:E,$B29),"-")</f>
        <v>-</v>
      </c>
      <c r="G29" s="4" t="str">
        <f>IF($C29,INDEX(SuperheatedSI!F:F,$B29),"-")</f>
        <v>-</v>
      </c>
      <c r="H29" s="39" t="str">
        <f>IF($C29,INDEX(SuperheatedSI!G:G,$B29),"-")</f>
        <v>-</v>
      </c>
      <c r="I29" s="26"/>
      <c r="J29" s="36" t="str">
        <f t="shared" si="4"/>
        <v>-</v>
      </c>
      <c r="K29" s="36" t="b">
        <f t="shared" si="2"/>
        <v>0</v>
      </c>
      <c r="L29" s="4" t="str">
        <f>IF($K29,INDEX(SuperheatedSI!C:C,$J29),"-")</f>
        <v>-</v>
      </c>
      <c r="M29" s="41" t="str">
        <f>IF($K29,INDEX(SuperheatedSI!D:D,$J29),"-")</f>
        <v>-</v>
      </c>
      <c r="N29" s="4" t="str">
        <f>IF($K29,INDEX(SuperheatedSI!E:E,$J29),"-")</f>
        <v>-</v>
      </c>
      <c r="O29" s="4" t="str">
        <f>IF($K29,INDEX(SuperheatedSI!F:F,$J29),"-")</f>
        <v>-</v>
      </c>
      <c r="P29" s="39" t="str">
        <f>IF($K29,INDEX(SuperheatedSI!G:G,$J29),"-")</f>
        <v>-</v>
      </c>
    </row>
    <row r="30" spans="1:16" x14ac:dyDescent="0.2">
      <c r="A30" s="45">
        <v>14</v>
      </c>
      <c r="B30" s="36" t="str">
        <f t="shared" si="3"/>
        <v>-</v>
      </c>
      <c r="C30" s="36" t="b">
        <f t="shared" si="1"/>
        <v>0</v>
      </c>
      <c r="D30" s="4" t="str">
        <f>IF($C30,INDEX(SuperheatedSI!C:C,$B30),"-")</f>
        <v>-</v>
      </c>
      <c r="E30" s="41" t="str">
        <f>IF($C30,INDEX(SuperheatedSI!D:D,$B30),"-")</f>
        <v>-</v>
      </c>
      <c r="F30" s="4" t="str">
        <f>IF($C30,INDEX(SuperheatedSI!E:E,$B30),"-")</f>
        <v>-</v>
      </c>
      <c r="G30" s="4" t="str">
        <f>IF($C30,INDEX(SuperheatedSI!F:F,$B30),"-")</f>
        <v>-</v>
      </c>
      <c r="H30" s="39" t="str">
        <f>IF($C30,INDEX(SuperheatedSI!G:G,$B30),"-")</f>
        <v>-</v>
      </c>
      <c r="I30" s="26"/>
      <c r="J30" s="36" t="str">
        <f t="shared" si="4"/>
        <v>-</v>
      </c>
      <c r="K30" s="36" t="b">
        <f t="shared" si="2"/>
        <v>0</v>
      </c>
      <c r="L30" s="4" t="str">
        <f>IF($K30,INDEX(SuperheatedSI!C:C,$J30),"-")</f>
        <v>-</v>
      </c>
      <c r="M30" s="41" t="str">
        <f>IF($K30,INDEX(SuperheatedSI!D:D,$J30),"-")</f>
        <v>-</v>
      </c>
      <c r="N30" s="4" t="str">
        <f>IF($K30,INDEX(SuperheatedSI!E:E,$J30),"-")</f>
        <v>-</v>
      </c>
      <c r="O30" s="4" t="str">
        <f>IF($K30,INDEX(SuperheatedSI!F:F,$J30),"-")</f>
        <v>-</v>
      </c>
      <c r="P30" s="39" t="str">
        <f>IF($K30,INDEX(SuperheatedSI!G:G,$J30),"-")</f>
        <v>-</v>
      </c>
    </row>
    <row r="31" spans="1:16" x14ac:dyDescent="0.2">
      <c r="A31" s="45">
        <v>15</v>
      </c>
      <c r="B31" s="36" t="str">
        <f t="shared" si="3"/>
        <v>-</v>
      </c>
      <c r="C31" s="36" t="b">
        <f t="shared" si="1"/>
        <v>0</v>
      </c>
      <c r="D31" s="4" t="str">
        <f>IF($C31,INDEX(SuperheatedSI!C:C,$B31),"-")</f>
        <v>-</v>
      </c>
      <c r="E31" s="41" t="str">
        <f>IF($C31,INDEX(SuperheatedSI!D:D,$B31),"-")</f>
        <v>-</v>
      </c>
      <c r="F31" s="4" t="str">
        <f>IF($C31,INDEX(SuperheatedSI!E:E,$B31),"-")</f>
        <v>-</v>
      </c>
      <c r="G31" s="4" t="str">
        <f>IF($C31,INDEX(SuperheatedSI!F:F,$B31),"-")</f>
        <v>-</v>
      </c>
      <c r="H31" s="39" t="str">
        <f>IF($C31,INDEX(SuperheatedSI!G:G,$B31),"-")</f>
        <v>-</v>
      </c>
      <c r="I31" s="26"/>
      <c r="J31" s="36" t="str">
        <f t="shared" si="4"/>
        <v>-</v>
      </c>
      <c r="K31" s="36" t="b">
        <f t="shared" si="2"/>
        <v>0</v>
      </c>
      <c r="L31" s="4" t="str">
        <f>IF($K31,INDEX(SuperheatedSI!C:C,$J31),"-")</f>
        <v>-</v>
      </c>
      <c r="M31" s="41" t="str">
        <f>IF($K31,INDEX(SuperheatedSI!D:D,$J31),"-")</f>
        <v>-</v>
      </c>
      <c r="N31" s="4" t="str">
        <f>IF($K31,INDEX(SuperheatedSI!E:E,$J31),"-")</f>
        <v>-</v>
      </c>
      <c r="O31" s="4" t="str">
        <f>IF($K31,INDEX(SuperheatedSI!F:F,$J31),"-")</f>
        <v>-</v>
      </c>
      <c r="P31" s="39" t="str">
        <f>IF($K31,INDEX(SuperheatedSI!G:G,$J31),"-")</f>
        <v>-</v>
      </c>
    </row>
    <row r="32" spans="1:16" x14ac:dyDescent="0.2">
      <c r="A32" s="45">
        <v>16</v>
      </c>
      <c r="B32" s="36" t="str">
        <f t="shared" si="3"/>
        <v>-</v>
      </c>
      <c r="C32" s="36" t="b">
        <f t="shared" si="1"/>
        <v>0</v>
      </c>
      <c r="D32" s="4" t="str">
        <f>IF($C32,INDEX(SuperheatedSI!C:C,$B32),"-")</f>
        <v>-</v>
      </c>
      <c r="E32" s="41" t="str">
        <f>IF($C32,INDEX(SuperheatedSI!D:D,$B32),"-")</f>
        <v>-</v>
      </c>
      <c r="F32" s="4" t="str">
        <f>IF($C32,INDEX(SuperheatedSI!E:E,$B32),"-")</f>
        <v>-</v>
      </c>
      <c r="G32" s="4" t="str">
        <f>IF($C32,INDEX(SuperheatedSI!F:F,$B32),"-")</f>
        <v>-</v>
      </c>
      <c r="H32" s="39" t="str">
        <f>IF($C32,INDEX(SuperheatedSI!G:G,$B32),"-")</f>
        <v>-</v>
      </c>
      <c r="I32" s="26"/>
      <c r="J32" s="36" t="str">
        <f t="shared" si="4"/>
        <v>-</v>
      </c>
      <c r="K32" s="36" t="b">
        <f t="shared" si="2"/>
        <v>0</v>
      </c>
      <c r="L32" s="4" t="str">
        <f>IF($K32,INDEX(SuperheatedSI!C:C,$J32),"-")</f>
        <v>-</v>
      </c>
      <c r="M32" s="41" t="str">
        <f>IF($K32,INDEX(SuperheatedSI!D:D,$J32),"-")</f>
        <v>-</v>
      </c>
      <c r="N32" s="4" t="str">
        <f>IF($K32,INDEX(SuperheatedSI!E:E,$J32),"-")</f>
        <v>-</v>
      </c>
      <c r="O32" s="4" t="str">
        <f>IF($K32,INDEX(SuperheatedSI!F:F,$J32),"-")</f>
        <v>-</v>
      </c>
      <c r="P32" s="39" t="str">
        <f>IF($K32,INDEX(SuperheatedSI!G:G,$J32),"-")</f>
        <v>-</v>
      </c>
    </row>
    <row r="33" spans="1:16" x14ac:dyDescent="0.2">
      <c r="A33" s="45">
        <v>17</v>
      </c>
      <c r="B33" s="36" t="str">
        <f t="shared" si="3"/>
        <v>-</v>
      </c>
      <c r="C33" s="36" t="b">
        <f t="shared" si="1"/>
        <v>0</v>
      </c>
      <c r="D33" s="4" t="str">
        <f>IF($C33,INDEX(SuperheatedSI!C:C,$B33),"-")</f>
        <v>-</v>
      </c>
      <c r="E33" s="41" t="str">
        <f>IF($C33,INDEX(SuperheatedSI!D:D,$B33),"-")</f>
        <v>-</v>
      </c>
      <c r="F33" s="4" t="str">
        <f>IF($C33,INDEX(SuperheatedSI!E:E,$B33),"-")</f>
        <v>-</v>
      </c>
      <c r="G33" s="4" t="str">
        <f>IF($C33,INDEX(SuperheatedSI!F:F,$B33),"-")</f>
        <v>-</v>
      </c>
      <c r="H33" s="39" t="str">
        <f>IF($C33,INDEX(SuperheatedSI!G:G,$B33),"-")</f>
        <v>-</v>
      </c>
      <c r="I33" s="26"/>
      <c r="J33" s="36" t="str">
        <f t="shared" si="4"/>
        <v>-</v>
      </c>
      <c r="K33" s="36" t="b">
        <f t="shared" si="2"/>
        <v>0</v>
      </c>
      <c r="L33" s="4" t="str">
        <f>IF($K33,INDEX(SuperheatedSI!C:C,$J33),"-")</f>
        <v>-</v>
      </c>
      <c r="M33" s="41" t="str">
        <f>IF($K33,INDEX(SuperheatedSI!D:D,$J33),"-")</f>
        <v>-</v>
      </c>
      <c r="N33" s="4" t="str">
        <f>IF($K33,INDEX(SuperheatedSI!E:E,$J33),"-")</f>
        <v>-</v>
      </c>
      <c r="O33" s="4" t="str">
        <f>IF($K33,INDEX(SuperheatedSI!F:F,$J33),"-")</f>
        <v>-</v>
      </c>
      <c r="P33" s="39" t="str">
        <f>IF($K33,INDEX(SuperheatedSI!G:G,$J33),"-")</f>
        <v>-</v>
      </c>
    </row>
    <row r="34" spans="1:16" x14ac:dyDescent="0.2">
      <c r="A34" s="45">
        <v>18</v>
      </c>
      <c r="B34" s="36" t="str">
        <f t="shared" si="3"/>
        <v>-</v>
      </c>
      <c r="C34" s="36" t="b">
        <f t="shared" si="1"/>
        <v>0</v>
      </c>
      <c r="D34" s="4" t="str">
        <f>IF($C34,INDEX(SuperheatedSI!C:C,$B34),"-")</f>
        <v>-</v>
      </c>
      <c r="E34" s="41" t="str">
        <f>IF($C34,INDEX(SuperheatedSI!D:D,$B34),"-")</f>
        <v>-</v>
      </c>
      <c r="F34" s="4" t="str">
        <f>IF($C34,INDEX(SuperheatedSI!E:E,$B34),"-")</f>
        <v>-</v>
      </c>
      <c r="G34" s="4" t="str">
        <f>IF($C34,INDEX(SuperheatedSI!F:F,$B34),"-")</f>
        <v>-</v>
      </c>
      <c r="H34" s="39" t="str">
        <f>IF($C34,INDEX(SuperheatedSI!G:G,$B34),"-")</f>
        <v>-</v>
      </c>
      <c r="I34" s="26"/>
      <c r="J34" s="36" t="str">
        <f t="shared" si="4"/>
        <v>-</v>
      </c>
      <c r="K34" s="36" t="b">
        <f t="shared" si="2"/>
        <v>0</v>
      </c>
      <c r="L34" s="4" t="str">
        <f>IF($K34,INDEX(SuperheatedSI!C:C,$J34),"-")</f>
        <v>-</v>
      </c>
      <c r="M34" s="41" t="str">
        <f>IF($K34,INDEX(SuperheatedSI!D:D,$J34),"-")</f>
        <v>-</v>
      </c>
      <c r="N34" s="4" t="str">
        <f>IF($K34,INDEX(SuperheatedSI!E:E,$J34),"-")</f>
        <v>-</v>
      </c>
      <c r="O34" s="4" t="str">
        <f>IF($K34,INDEX(SuperheatedSI!F:F,$J34),"-")</f>
        <v>-</v>
      </c>
      <c r="P34" s="39" t="str">
        <f>IF($K34,INDEX(SuperheatedSI!G:G,$J34),"-")</f>
        <v>-</v>
      </c>
    </row>
    <row r="35" spans="1:16" x14ac:dyDescent="0.2">
      <c r="A35" s="45">
        <v>19</v>
      </c>
      <c r="B35" s="36" t="str">
        <f t="shared" si="3"/>
        <v>-</v>
      </c>
      <c r="C35" s="36" t="b">
        <f t="shared" si="1"/>
        <v>0</v>
      </c>
      <c r="D35" s="4" t="str">
        <f>IF($C35,INDEX(SuperheatedSI!C:C,$B35),"-")</f>
        <v>-</v>
      </c>
      <c r="E35" s="41" t="str">
        <f>IF($C35,INDEX(SuperheatedSI!D:D,$B35),"-")</f>
        <v>-</v>
      </c>
      <c r="F35" s="4" t="str">
        <f>IF($C35,INDEX(SuperheatedSI!E:E,$B35),"-")</f>
        <v>-</v>
      </c>
      <c r="G35" s="4" t="str">
        <f>IF($C35,INDEX(SuperheatedSI!F:F,$B35),"-")</f>
        <v>-</v>
      </c>
      <c r="H35" s="39" t="str">
        <f>IF($C35,INDEX(SuperheatedSI!G:G,$B35),"-")</f>
        <v>-</v>
      </c>
      <c r="I35" s="26"/>
      <c r="J35" s="36" t="str">
        <f t="shared" si="4"/>
        <v>-</v>
      </c>
      <c r="K35" s="36" t="b">
        <f t="shared" si="2"/>
        <v>0</v>
      </c>
      <c r="L35" s="4" t="str">
        <f>IF($K35,INDEX(SuperheatedSI!C:C,$J35),"-")</f>
        <v>-</v>
      </c>
      <c r="M35" s="41" t="str">
        <f>IF($K35,INDEX(SuperheatedSI!D:D,$J35),"-")</f>
        <v>-</v>
      </c>
      <c r="N35" s="4" t="str">
        <f>IF($K35,INDEX(SuperheatedSI!E:E,$J35),"-")</f>
        <v>-</v>
      </c>
      <c r="O35" s="4" t="str">
        <f>IF($K35,INDEX(SuperheatedSI!F:F,$J35),"-")</f>
        <v>-</v>
      </c>
      <c r="P35" s="39" t="str">
        <f>IF($K35,INDEX(SuperheatedSI!G:G,$J35),"-")</f>
        <v>-</v>
      </c>
    </row>
    <row r="36" spans="1:16" x14ac:dyDescent="0.2">
      <c r="A36" s="45">
        <v>20</v>
      </c>
      <c r="B36" s="36" t="str">
        <f t="shared" si="3"/>
        <v>-</v>
      </c>
      <c r="C36" s="36" t="b">
        <f t="shared" si="1"/>
        <v>0</v>
      </c>
      <c r="D36" s="4" t="str">
        <f>IF($C36,INDEX(SuperheatedSI!C:C,$B36),"-")</f>
        <v>-</v>
      </c>
      <c r="E36" s="41" t="str">
        <f>IF($C36,INDEX(SuperheatedSI!D:D,$B36),"-")</f>
        <v>-</v>
      </c>
      <c r="F36" s="4" t="str">
        <f>IF($C36,INDEX(SuperheatedSI!E:E,$B36),"-")</f>
        <v>-</v>
      </c>
      <c r="G36" s="4" t="str">
        <f>IF($C36,INDEX(SuperheatedSI!F:F,$B36),"-")</f>
        <v>-</v>
      </c>
      <c r="H36" s="39" t="str">
        <f>IF($C36,INDEX(SuperheatedSI!G:G,$B36),"-")</f>
        <v>-</v>
      </c>
      <c r="I36" s="26"/>
      <c r="J36" s="36" t="str">
        <f t="shared" si="4"/>
        <v>-</v>
      </c>
      <c r="K36" s="36" t="b">
        <f t="shared" si="2"/>
        <v>0</v>
      </c>
      <c r="L36" s="4" t="str">
        <f>IF($K36,INDEX(SuperheatedSI!C:C,$J36),"-")</f>
        <v>-</v>
      </c>
      <c r="M36" s="41" t="str">
        <f>IF($K36,INDEX(SuperheatedSI!D:D,$J36),"-")</f>
        <v>-</v>
      </c>
      <c r="N36" s="4" t="str">
        <f>IF($K36,INDEX(SuperheatedSI!E:E,$J36),"-")</f>
        <v>-</v>
      </c>
      <c r="O36" s="4" t="str">
        <f>IF($K36,INDEX(SuperheatedSI!F:F,$J36),"-")</f>
        <v>-</v>
      </c>
      <c r="P36" s="39" t="str">
        <f>IF($K36,INDEX(SuperheatedSI!G:G,$J36),"-")</f>
        <v>-</v>
      </c>
    </row>
    <row r="37" spans="1:16" x14ac:dyDescent="0.2">
      <c r="A37" s="82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34"/>
    </row>
    <row r="38" spans="1:16" x14ac:dyDescent="0.2">
      <c r="A38" s="83">
        <f>A5</f>
        <v>367</v>
      </c>
      <c r="B38" s="26" t="s">
        <v>133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34"/>
    </row>
    <row r="39" spans="1:16" x14ac:dyDescent="0.2">
      <c r="A39" s="82"/>
      <c r="B39" s="26"/>
      <c r="C39" s="84" t="s">
        <v>97</v>
      </c>
      <c r="D39" s="36">
        <f>MATCH($A38,D17:D36)</f>
        <v>8</v>
      </c>
      <c r="E39" s="26"/>
      <c r="F39" s="26"/>
      <c r="G39" s="26"/>
      <c r="H39" s="26"/>
      <c r="I39" s="26"/>
      <c r="J39" s="26"/>
      <c r="K39" s="84" t="s">
        <v>97</v>
      </c>
      <c r="L39" s="36">
        <f>MATCH($A38,L17:L36)</f>
        <v>7</v>
      </c>
      <c r="M39" s="26"/>
      <c r="N39" s="26"/>
      <c r="O39" s="26"/>
      <c r="P39" s="34"/>
    </row>
    <row r="40" spans="1:16" x14ac:dyDescent="0.2">
      <c r="A40" s="82"/>
      <c r="B40" s="26"/>
      <c r="C40" s="84" t="s">
        <v>98</v>
      </c>
      <c r="D40" s="4">
        <f>INDEX(D17:D36,$D$39)</f>
        <v>360</v>
      </c>
      <c r="E40" s="41">
        <f t="shared" ref="E40:H40" si="5">INDEX(E17:E36,$D$39)</f>
        <v>1.9430000000000001</v>
      </c>
      <c r="F40" s="4">
        <f t="shared" si="5"/>
        <v>2903.5</v>
      </c>
      <c r="G40" s="4">
        <f t="shared" si="5"/>
        <v>3195</v>
      </c>
      <c r="H40" s="39">
        <f t="shared" si="5"/>
        <v>8.2293000000000003</v>
      </c>
      <c r="I40" s="26"/>
      <c r="J40" s="26"/>
      <c r="K40" s="84" t="s">
        <v>98</v>
      </c>
      <c r="L40" s="4">
        <f>INDEX(L17:L36,$L$39)</f>
        <v>360</v>
      </c>
      <c r="M40" s="41">
        <f t="shared" ref="M40:P40" si="6">INDEX(M17:M36,$L$39)</f>
        <v>0.96899999999999997</v>
      </c>
      <c r="N40" s="4">
        <f t="shared" si="6"/>
        <v>2901.4</v>
      </c>
      <c r="O40" s="4">
        <f t="shared" si="6"/>
        <v>3192.2</v>
      </c>
      <c r="P40" s="39">
        <f t="shared" si="6"/>
        <v>7.9061000000000003</v>
      </c>
    </row>
    <row r="41" spans="1:16" x14ac:dyDescent="0.2">
      <c r="A41" s="82"/>
      <c r="B41" s="26"/>
      <c r="C41" s="84" t="s">
        <v>99</v>
      </c>
      <c r="D41" s="4">
        <f>$A38</f>
        <v>367</v>
      </c>
      <c r="E41" s="26"/>
      <c r="F41" s="26"/>
      <c r="G41" s="26"/>
      <c r="H41" s="26"/>
      <c r="I41" s="26"/>
      <c r="J41" s="26"/>
      <c r="K41" s="84" t="s">
        <v>99</v>
      </c>
      <c r="L41" s="4">
        <f>$A38</f>
        <v>367</v>
      </c>
      <c r="M41" s="26"/>
      <c r="N41" s="26"/>
      <c r="O41" s="26"/>
      <c r="P41" s="34"/>
    </row>
    <row r="42" spans="1:16" x14ac:dyDescent="0.2">
      <c r="A42" s="82"/>
      <c r="B42" s="26"/>
      <c r="C42" s="84" t="s">
        <v>100</v>
      </c>
      <c r="D42" s="4">
        <f>INDEX(D17:D36,$D$39+1)</f>
        <v>400</v>
      </c>
      <c r="E42" s="41">
        <f t="shared" ref="E42:H42" si="7">INDEX(E17:E36,$D$39+1)</f>
        <v>2.0670000000000002</v>
      </c>
      <c r="F42" s="4">
        <f t="shared" si="7"/>
        <v>2967.3</v>
      </c>
      <c r="G42" s="4">
        <f t="shared" si="7"/>
        <v>3277.4</v>
      </c>
      <c r="H42" s="39">
        <f t="shared" si="7"/>
        <v>8.3554999999999993</v>
      </c>
      <c r="I42" s="26"/>
      <c r="J42" s="26"/>
      <c r="K42" s="84" t="s">
        <v>100</v>
      </c>
      <c r="L42" s="4">
        <f>INDEX(L17:L36,$L$39+1)</f>
        <v>400</v>
      </c>
      <c r="M42" s="41">
        <f t="shared" ref="M42:P42" si="8">INDEX(M17:M36,$L$39+1)</f>
        <v>1.032</v>
      </c>
      <c r="N42" s="4">
        <f t="shared" si="8"/>
        <v>2965.6</v>
      </c>
      <c r="O42" s="4">
        <f t="shared" si="8"/>
        <v>3275</v>
      </c>
      <c r="P42" s="39">
        <f t="shared" si="8"/>
        <v>8.0329999999999995</v>
      </c>
    </row>
    <row r="43" spans="1:16" x14ac:dyDescent="0.2">
      <c r="A43" s="82"/>
      <c r="B43" s="26"/>
      <c r="C43" s="84" t="s">
        <v>101</v>
      </c>
      <c r="D43" s="37">
        <f>(D41-D40)/(D42-D40)</f>
        <v>0.17499999999999999</v>
      </c>
      <c r="E43" s="26"/>
      <c r="F43" s="26"/>
      <c r="G43" s="26"/>
      <c r="H43" s="26"/>
      <c r="I43" s="26"/>
      <c r="J43" s="26"/>
      <c r="K43" s="84" t="s">
        <v>101</v>
      </c>
      <c r="L43" s="37">
        <f>(L41-L40)/(L42-L40)</f>
        <v>0.17499999999999999</v>
      </c>
      <c r="M43" s="26"/>
      <c r="N43" s="26"/>
      <c r="O43" s="26"/>
      <c r="P43" s="34"/>
    </row>
    <row r="44" spans="1:16" x14ac:dyDescent="0.2">
      <c r="A44" s="82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34"/>
    </row>
    <row r="45" spans="1:16" x14ac:dyDescent="0.2">
      <c r="A45" s="82"/>
      <c r="B45" s="26"/>
      <c r="C45" s="26"/>
      <c r="D45" s="46" t="s">
        <v>102</v>
      </c>
      <c r="E45" s="50"/>
      <c r="F45" s="50"/>
      <c r="G45" s="50"/>
      <c r="H45" s="51"/>
      <c r="I45" s="26"/>
      <c r="J45" s="26"/>
      <c r="K45" s="26"/>
      <c r="L45" s="46" t="s">
        <v>103</v>
      </c>
      <c r="M45" s="50"/>
      <c r="N45" s="50"/>
      <c r="O45" s="50"/>
      <c r="P45" s="51"/>
    </row>
    <row r="46" spans="1:16" x14ac:dyDescent="0.2">
      <c r="A46" s="82"/>
      <c r="B46" s="26"/>
      <c r="C46" s="26"/>
      <c r="D46" s="45" t="s">
        <v>129</v>
      </c>
      <c r="E46" s="75" t="s">
        <v>31</v>
      </c>
      <c r="F46" s="76" t="s">
        <v>29</v>
      </c>
      <c r="G46" s="76" t="s">
        <v>30</v>
      </c>
      <c r="H46" s="77" t="s">
        <v>32</v>
      </c>
      <c r="I46" s="26"/>
      <c r="J46" s="26"/>
      <c r="K46" s="26"/>
      <c r="L46" s="45" t="s">
        <v>129</v>
      </c>
      <c r="M46" s="75" t="s">
        <v>31</v>
      </c>
      <c r="N46" s="76" t="s">
        <v>29</v>
      </c>
      <c r="O46" s="76" t="s">
        <v>30</v>
      </c>
      <c r="P46" s="77" t="s">
        <v>32</v>
      </c>
    </row>
    <row r="47" spans="1:16" x14ac:dyDescent="0.2">
      <c r="A47" s="82"/>
      <c r="B47" s="26"/>
      <c r="C47" s="26"/>
      <c r="D47" s="4">
        <f>D40+$D$43*(D42-D40)</f>
        <v>367</v>
      </c>
      <c r="E47" s="41">
        <f>E40+$D$43*(E42-E40)</f>
        <v>1.9647000000000001</v>
      </c>
      <c r="F47" s="4">
        <f>F40+$D$43*(F42-F40)</f>
        <v>2914.665</v>
      </c>
      <c r="G47" s="4">
        <f>G40+$D$43*(G42-G40)</f>
        <v>3209.42</v>
      </c>
      <c r="H47" s="39">
        <f>H40+$D$43*(H42-H40)</f>
        <v>8.2513850000000009</v>
      </c>
      <c r="I47" s="26"/>
      <c r="J47" s="26"/>
      <c r="K47" s="26"/>
      <c r="L47" s="4">
        <f>L40+$L$43*(L42-L40)</f>
        <v>367</v>
      </c>
      <c r="M47" s="41">
        <f>M40+$L$43*(M42-M40)</f>
        <v>0.98002500000000003</v>
      </c>
      <c r="N47" s="4">
        <f>N40+$L$43*(N42-N40)</f>
        <v>2912.6350000000002</v>
      </c>
      <c r="O47" s="4">
        <f>O40+$L$43*(O42-O40)</f>
        <v>3206.69</v>
      </c>
      <c r="P47" s="39">
        <f>P40+$L$43*(P42-P40)</f>
        <v>7.9283074999999998</v>
      </c>
    </row>
    <row r="48" spans="1:16" x14ac:dyDescent="0.2">
      <c r="A48" s="8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34"/>
    </row>
    <row r="49" spans="1:16" x14ac:dyDescent="0.2">
      <c r="A49" s="83">
        <f>A8</f>
        <v>150</v>
      </c>
      <c r="B49" s="26" t="s">
        <v>92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34"/>
    </row>
    <row r="50" spans="1:16" x14ac:dyDescent="0.2">
      <c r="A50" s="83">
        <f>A4</f>
        <v>157</v>
      </c>
      <c r="B50" s="26" t="s">
        <v>104</v>
      </c>
      <c r="C50" s="26"/>
      <c r="D50" s="46" t="s">
        <v>105</v>
      </c>
      <c r="E50" s="50"/>
      <c r="F50" s="50"/>
      <c r="G50" s="50"/>
      <c r="H50" s="51"/>
      <c r="I50" s="26"/>
      <c r="J50" s="26"/>
      <c r="K50" s="26"/>
      <c r="L50" s="26"/>
      <c r="M50" s="26"/>
      <c r="N50" s="26"/>
      <c r="O50" s="26"/>
      <c r="P50" s="34"/>
    </row>
    <row r="51" spans="1:16" x14ac:dyDescent="0.2">
      <c r="A51" s="83">
        <f>A11</f>
        <v>300</v>
      </c>
      <c r="B51" s="26" t="s">
        <v>106</v>
      </c>
      <c r="C51" s="26"/>
      <c r="D51" s="45" t="s">
        <v>129</v>
      </c>
      <c r="E51" s="75" t="s">
        <v>31</v>
      </c>
      <c r="F51" s="76" t="s">
        <v>29</v>
      </c>
      <c r="G51" s="76" t="s">
        <v>30</v>
      </c>
      <c r="H51" s="77" t="s">
        <v>32</v>
      </c>
      <c r="I51" s="26"/>
      <c r="J51" s="26"/>
      <c r="K51" s="26"/>
      <c r="L51" s="26"/>
      <c r="M51" s="26"/>
      <c r="N51" s="26"/>
      <c r="O51" s="26"/>
      <c r="P51" s="34"/>
    </row>
    <row r="52" spans="1:16" x14ac:dyDescent="0.2">
      <c r="A52" s="37">
        <f>(A50-A49)/(A51-A49)</f>
        <v>4.6666666666666669E-2</v>
      </c>
      <c r="B52" s="30" t="s">
        <v>101</v>
      </c>
      <c r="C52" s="30"/>
      <c r="D52" s="4">
        <f>D47+$A$52*(L47-D47)</f>
        <v>367</v>
      </c>
      <c r="E52" s="41">
        <f t="shared" ref="E52:H52" si="9">E47+$A$52*(M47-E47)</f>
        <v>1.9187485000000002</v>
      </c>
      <c r="F52" s="4">
        <f t="shared" si="9"/>
        <v>2914.5702666666666</v>
      </c>
      <c r="G52" s="4">
        <f t="shared" si="9"/>
        <v>3209.2926000000002</v>
      </c>
      <c r="H52" s="39">
        <f t="shared" si="9"/>
        <v>8.2363080500000017</v>
      </c>
      <c r="I52" s="30"/>
      <c r="J52" s="30"/>
      <c r="K52" s="30"/>
      <c r="L52" s="30"/>
      <c r="M52" s="30"/>
      <c r="N52" s="30"/>
      <c r="O52" s="30"/>
      <c r="P52" s="35"/>
    </row>
    <row r="54" spans="1:16" ht="15.75" x14ac:dyDescent="0.25">
      <c r="A54" s="74" t="s">
        <v>107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1"/>
    </row>
    <row r="55" spans="1:16" x14ac:dyDescent="0.2">
      <c r="A55" s="85">
        <v>193</v>
      </c>
      <c r="B55" s="18" t="s">
        <v>27</v>
      </c>
      <c r="C55" s="73" t="s">
        <v>27</v>
      </c>
      <c r="D55" s="45" t="s">
        <v>129</v>
      </c>
      <c r="E55" s="75" t="s">
        <v>31</v>
      </c>
      <c r="F55" s="76" t="s">
        <v>29</v>
      </c>
      <c r="G55" s="76" t="s">
        <v>30</v>
      </c>
      <c r="H55" s="77" t="s">
        <v>32</v>
      </c>
      <c r="I55" s="101" t="s">
        <v>127</v>
      </c>
      <c r="J55" s="50"/>
      <c r="K55" s="50"/>
      <c r="L55" s="50"/>
      <c r="M55" s="50"/>
      <c r="N55" s="50"/>
      <c r="O55" s="50"/>
      <c r="P55" s="51"/>
    </row>
    <row r="56" spans="1:16" x14ac:dyDescent="0.2">
      <c r="A56" s="44">
        <v>7.5</v>
      </c>
      <c r="B56" s="86" t="s">
        <v>32</v>
      </c>
      <c r="C56" s="79">
        <f>A55</f>
        <v>193</v>
      </c>
      <c r="D56" s="79">
        <f>D103</f>
        <v>190.03914140889646</v>
      </c>
      <c r="E56" s="80">
        <f t="shared" ref="E56:H56" si="10">E103</f>
        <v>1.1831886914595851</v>
      </c>
      <c r="F56" s="79">
        <f t="shared" si="10"/>
        <v>2639.8895852933756</v>
      </c>
      <c r="G56" s="79">
        <f t="shared" si="10"/>
        <v>2851.3703603434465</v>
      </c>
      <c r="H56" s="81">
        <f t="shared" si="10"/>
        <v>7.5</v>
      </c>
      <c r="I56" s="101" t="s">
        <v>202</v>
      </c>
      <c r="J56" s="50"/>
      <c r="K56" s="50"/>
      <c r="L56" s="50"/>
      <c r="M56" s="50"/>
      <c r="N56" s="50"/>
      <c r="O56" s="50"/>
      <c r="P56" s="51"/>
    </row>
    <row r="57" spans="1:16" x14ac:dyDescent="0.2">
      <c r="A57" s="82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34"/>
    </row>
    <row r="58" spans="1:16" x14ac:dyDescent="0.2">
      <c r="A58" s="36">
        <f>MATCH(A55,SuperheatedSI!A:A)</f>
        <v>51</v>
      </c>
      <c r="B58" s="26" t="s">
        <v>85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34"/>
    </row>
    <row r="59" spans="1:16" x14ac:dyDescent="0.2">
      <c r="A59" s="36">
        <f>INDEX(SuperheatedSI!B:B,A58)</f>
        <v>150</v>
      </c>
      <c r="B59" s="26" t="s">
        <v>86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34"/>
    </row>
    <row r="60" spans="1:16" x14ac:dyDescent="0.2">
      <c r="A60" s="36">
        <f>COUNTIF(SuperheatedSI!B:B,A59)</f>
        <v>12</v>
      </c>
      <c r="B60" s="26" t="s">
        <v>87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4"/>
    </row>
    <row r="61" spans="1:16" x14ac:dyDescent="0.2">
      <c r="A61" s="36">
        <f>A58+A60</f>
        <v>63</v>
      </c>
      <c r="B61" s="26" t="s">
        <v>88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34"/>
    </row>
    <row r="62" spans="1:16" x14ac:dyDescent="0.2">
      <c r="A62" s="36">
        <f>INDEX(SuperheatedSI!B:B,A61)</f>
        <v>300</v>
      </c>
      <c r="B62" s="26" t="s">
        <v>89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34"/>
    </row>
    <row r="63" spans="1:16" x14ac:dyDescent="0.2">
      <c r="A63" s="36">
        <f>COUNTIF(SuperheatedSI!B:B,A62)</f>
        <v>11</v>
      </c>
      <c r="B63" s="26" t="s">
        <v>90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34"/>
    </row>
    <row r="64" spans="1:16" x14ac:dyDescent="0.2">
      <c r="A64" s="36" t="b">
        <f>AND(A59&lt;=A55,A62&gt;A55)</f>
        <v>1</v>
      </c>
      <c r="B64" s="26" t="s">
        <v>91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34"/>
    </row>
    <row r="65" spans="1:16" x14ac:dyDescent="0.2">
      <c r="A65" s="82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34"/>
    </row>
    <row r="66" spans="1:16" x14ac:dyDescent="0.2">
      <c r="A66" s="82"/>
      <c r="B66" s="46" t="s">
        <v>92</v>
      </c>
      <c r="C66" s="50"/>
      <c r="D66" s="47">
        <f>A59</f>
        <v>150</v>
      </c>
      <c r="E66" s="47" t="s">
        <v>222</v>
      </c>
      <c r="F66" s="50"/>
      <c r="G66" s="50"/>
      <c r="H66" s="51"/>
      <c r="I66" s="26"/>
      <c r="J66" s="46" t="s">
        <v>93</v>
      </c>
      <c r="K66" s="50"/>
      <c r="L66" s="47">
        <f>A62</f>
        <v>300</v>
      </c>
      <c r="M66" s="47" t="s">
        <v>222</v>
      </c>
      <c r="N66" s="50"/>
      <c r="O66" s="50"/>
      <c r="P66" s="51"/>
    </row>
    <row r="67" spans="1:16" x14ac:dyDescent="0.2">
      <c r="A67" s="45" t="s">
        <v>42</v>
      </c>
      <c r="B67" s="36" t="s">
        <v>94</v>
      </c>
      <c r="C67" s="36" t="s">
        <v>95</v>
      </c>
      <c r="D67" s="45" t="s">
        <v>129</v>
      </c>
      <c r="E67" s="75" t="s">
        <v>31</v>
      </c>
      <c r="F67" s="76" t="s">
        <v>29</v>
      </c>
      <c r="G67" s="76" t="s">
        <v>30</v>
      </c>
      <c r="H67" s="77" t="s">
        <v>32</v>
      </c>
      <c r="I67" s="26"/>
      <c r="J67" s="36" t="s">
        <v>94</v>
      </c>
      <c r="K67" s="36" t="s">
        <v>95</v>
      </c>
      <c r="L67" s="45" t="s">
        <v>129</v>
      </c>
      <c r="M67" s="75" t="s">
        <v>31</v>
      </c>
      <c r="N67" s="76" t="s">
        <v>29</v>
      </c>
      <c r="O67" s="76" t="s">
        <v>30</v>
      </c>
      <c r="P67" s="77" t="s">
        <v>32</v>
      </c>
    </row>
    <row r="68" spans="1:16" x14ac:dyDescent="0.2">
      <c r="A68" s="45">
        <v>1</v>
      </c>
      <c r="B68" s="83">
        <f>A58</f>
        <v>51</v>
      </c>
      <c r="C68" s="36" t="b">
        <f>ISNUMBER(B68)</f>
        <v>1</v>
      </c>
      <c r="D68" s="4">
        <f>IF($C68,INDEX(SuperheatedSI!C:C,$B68),"-")</f>
        <v>111.37</v>
      </c>
      <c r="E68" s="41">
        <f>IF($C68,INDEX(SuperheatedSI!D:D,$B68),"-")</f>
        <v>1.159</v>
      </c>
      <c r="F68" s="4">
        <f>IF($C68,INDEX(SuperheatedSI!E:E,$B68),"-")</f>
        <v>2519.6999999999998</v>
      </c>
      <c r="G68" s="4">
        <f>IF($C68,INDEX(SuperheatedSI!F:F,$B68),"-")</f>
        <v>2693.6</v>
      </c>
      <c r="H68" s="39">
        <f>IF($C68,INDEX(SuperheatedSI!G:G,$B68),"-")</f>
        <v>7.2233000000000001</v>
      </c>
      <c r="I68" s="26"/>
      <c r="J68" s="83">
        <f>A61</f>
        <v>63</v>
      </c>
      <c r="K68" s="36" t="b">
        <f>ISNUMBER(J68)</f>
        <v>1</v>
      </c>
      <c r="L68" s="4">
        <f>IF($K68,INDEX(SuperheatedSI!C:C,$J68),"-")</f>
        <v>133.55000000000001</v>
      </c>
      <c r="M68" s="41">
        <f>IF($K68,INDEX(SuperheatedSI!D:D,$J68),"-")</f>
        <v>0.60599999999999998</v>
      </c>
      <c r="N68" s="4">
        <f>IF($K68,INDEX(SuperheatedSI!E:E,$J68),"-")</f>
        <v>2543.6</v>
      </c>
      <c r="O68" s="4">
        <f>IF($K68,INDEX(SuperheatedSI!F:F,$J68),"-")</f>
        <v>2725.3</v>
      </c>
      <c r="P68" s="39">
        <f>IF($K68,INDEX(SuperheatedSI!G:G,$J68),"-")</f>
        <v>6.9919000000000002</v>
      </c>
    </row>
    <row r="69" spans="1:16" x14ac:dyDescent="0.2">
      <c r="A69" s="45">
        <v>2</v>
      </c>
      <c r="B69" s="36">
        <f>IF($A69&gt;$A$60,"-",B68+1)</f>
        <v>52</v>
      </c>
      <c r="C69" s="36" t="b">
        <f t="shared" ref="C69:C87" si="11">ISNUMBER(B69)</f>
        <v>1</v>
      </c>
      <c r="D69" s="4">
        <f>IF($C69,INDEX(SuperheatedSI!C:C,$B69),"-")</f>
        <v>120</v>
      </c>
      <c r="E69" s="41">
        <f>IF($C69,INDEX(SuperheatedSI!D:D,$B69),"-")</f>
        <v>1.1879999999999999</v>
      </c>
      <c r="F69" s="4">
        <f>IF($C69,INDEX(SuperheatedSI!E:E,$B69),"-")</f>
        <v>2533.3000000000002</v>
      </c>
      <c r="G69" s="4">
        <f>IF($C69,INDEX(SuperheatedSI!F:F,$B69),"-")</f>
        <v>2711.4</v>
      </c>
      <c r="H69" s="39">
        <f>IF($C69,INDEX(SuperheatedSI!G:G,$B69),"-")</f>
        <v>7.2693000000000003</v>
      </c>
      <c r="I69" s="26"/>
      <c r="J69" s="36">
        <f>IF($A69&gt;$A$63,"-",J68+1)</f>
        <v>64</v>
      </c>
      <c r="K69" s="36" t="b">
        <f t="shared" ref="K69:K87" si="12">ISNUMBER(J69)</f>
        <v>1</v>
      </c>
      <c r="L69" s="4">
        <f>IF($K69,INDEX(SuperheatedSI!C:C,$J69),"-")</f>
        <v>160</v>
      </c>
      <c r="M69" s="41">
        <f>IF($K69,INDEX(SuperheatedSI!D:D,$J69),"-")</f>
        <v>0.65100000000000002</v>
      </c>
      <c r="N69" s="4">
        <f>IF($K69,INDEX(SuperheatedSI!E:E,$J69),"-")</f>
        <v>2587.1</v>
      </c>
      <c r="O69" s="4">
        <f>IF($K69,INDEX(SuperheatedSI!F:F,$J69),"-")</f>
        <v>2782.3</v>
      </c>
      <c r="P69" s="39">
        <f>IF($K69,INDEX(SuperheatedSI!G:G,$J69),"-")</f>
        <v>7.1276000000000002</v>
      </c>
    </row>
    <row r="70" spans="1:16" x14ac:dyDescent="0.2">
      <c r="A70" s="45">
        <v>3</v>
      </c>
      <c r="B70" s="36">
        <f t="shared" ref="B70:B87" si="13">IF($A70&gt;$A$60,"-",B69+1)</f>
        <v>53</v>
      </c>
      <c r="C70" s="36" t="b">
        <f t="shared" si="11"/>
        <v>1</v>
      </c>
      <c r="D70" s="4">
        <f>IF($C70,INDEX(SuperheatedSI!C:C,$B70),"-")</f>
        <v>160</v>
      </c>
      <c r="E70" s="41">
        <f>IF($C70,INDEX(SuperheatedSI!D:D,$B70),"-")</f>
        <v>1.3169999999999999</v>
      </c>
      <c r="F70" s="4">
        <f>IF($C70,INDEX(SuperheatedSI!E:E,$B70),"-")</f>
        <v>2595.1999999999998</v>
      </c>
      <c r="G70" s="4">
        <f>IF($C70,INDEX(SuperheatedSI!F:F,$B70),"-")</f>
        <v>2792.8</v>
      </c>
      <c r="H70" s="39">
        <f>IF($C70,INDEX(SuperheatedSI!G:G,$B70),"-")</f>
        <v>7.4664999999999999</v>
      </c>
      <c r="I70" s="26"/>
      <c r="J70" s="36">
        <f t="shared" ref="J70:J87" si="14">IF($A70&gt;$A$63,"-",J69+1)</f>
        <v>65</v>
      </c>
      <c r="K70" s="36" t="b">
        <f t="shared" si="12"/>
        <v>1</v>
      </c>
      <c r="L70" s="4">
        <f>IF($K70,INDEX(SuperheatedSI!C:C,$J70),"-")</f>
        <v>200</v>
      </c>
      <c r="M70" s="41">
        <f>IF($K70,INDEX(SuperheatedSI!D:D,$J70),"-")</f>
        <v>0.71599999999999997</v>
      </c>
      <c r="N70" s="4">
        <f>IF($K70,INDEX(SuperheatedSI!E:E,$J70),"-")</f>
        <v>2650.7</v>
      </c>
      <c r="O70" s="4">
        <f>IF($K70,INDEX(SuperheatedSI!F:F,$J70),"-")</f>
        <v>2865.5</v>
      </c>
      <c r="P70" s="39">
        <f>IF($K70,INDEX(SuperheatedSI!G:G,$J70),"-")</f>
        <v>7.3114999999999997</v>
      </c>
    </row>
    <row r="71" spans="1:16" x14ac:dyDescent="0.2">
      <c r="A71" s="45">
        <v>4</v>
      </c>
      <c r="B71" s="36">
        <f t="shared" si="13"/>
        <v>54</v>
      </c>
      <c r="C71" s="36" t="b">
        <f t="shared" si="11"/>
        <v>1</v>
      </c>
      <c r="D71" s="4">
        <f>IF($C71,INDEX(SuperheatedSI!C:C,$B71),"-")</f>
        <v>200</v>
      </c>
      <c r="E71" s="41">
        <f>IF($C71,INDEX(SuperheatedSI!D:D,$B71),"-")</f>
        <v>1.444</v>
      </c>
      <c r="F71" s="4">
        <f>IF($C71,INDEX(SuperheatedSI!E:E,$B71),"-")</f>
        <v>2656.2</v>
      </c>
      <c r="G71" s="4">
        <f>IF($C71,INDEX(SuperheatedSI!F:F,$B71),"-")</f>
        <v>2872.9</v>
      </c>
      <c r="H71" s="39">
        <f>IF($C71,INDEX(SuperheatedSI!G:G,$B71),"-")</f>
        <v>7.6433</v>
      </c>
      <c r="I71" s="26"/>
      <c r="J71" s="36">
        <f t="shared" si="14"/>
        <v>66</v>
      </c>
      <c r="K71" s="36" t="b">
        <f t="shared" si="12"/>
        <v>1</v>
      </c>
      <c r="L71" s="4">
        <f>IF($K71,INDEX(SuperheatedSI!C:C,$J71),"-")</f>
        <v>240</v>
      </c>
      <c r="M71" s="41">
        <f>IF($K71,INDEX(SuperheatedSI!D:D,$J71),"-")</f>
        <v>0.78100000000000003</v>
      </c>
      <c r="N71" s="4">
        <f>IF($K71,INDEX(SuperheatedSI!E:E,$J71),"-")</f>
        <v>2713.1</v>
      </c>
      <c r="O71" s="4">
        <f>IF($K71,INDEX(SuperheatedSI!F:F,$J71),"-")</f>
        <v>2947.3</v>
      </c>
      <c r="P71" s="39">
        <f>IF($K71,INDEX(SuperheatedSI!G:G,$J71),"-")</f>
        <v>7.4774000000000003</v>
      </c>
    </row>
    <row r="72" spans="1:16" x14ac:dyDescent="0.2">
      <c r="A72" s="45">
        <v>5</v>
      </c>
      <c r="B72" s="36">
        <f t="shared" si="13"/>
        <v>55</v>
      </c>
      <c r="C72" s="36" t="b">
        <f t="shared" si="11"/>
        <v>1</v>
      </c>
      <c r="D72" s="4">
        <f>IF($C72,INDEX(SuperheatedSI!C:C,$B72),"-")</f>
        <v>240</v>
      </c>
      <c r="E72" s="41">
        <f>IF($C72,INDEX(SuperheatedSI!D:D,$B72),"-")</f>
        <v>1.57</v>
      </c>
      <c r="F72" s="4">
        <f>IF($C72,INDEX(SuperheatedSI!E:E,$B72),"-")</f>
        <v>2717.2</v>
      </c>
      <c r="G72" s="4">
        <f>IF($C72,INDEX(SuperheatedSI!F:F,$B72),"-")</f>
        <v>2952.7</v>
      </c>
      <c r="H72" s="39">
        <f>IF($C72,INDEX(SuperheatedSI!G:G,$B72),"-")</f>
        <v>7.8052000000000001</v>
      </c>
      <c r="I72" s="26"/>
      <c r="J72" s="36">
        <f t="shared" si="14"/>
        <v>67</v>
      </c>
      <c r="K72" s="36" t="b">
        <f t="shared" si="12"/>
        <v>1</v>
      </c>
      <c r="L72" s="4">
        <f>IF($K72,INDEX(SuperheatedSI!C:C,$J72),"-")</f>
        <v>280</v>
      </c>
      <c r="M72" s="41">
        <f>IF($K72,INDEX(SuperheatedSI!D:D,$J72),"-")</f>
        <v>0.84399999999999997</v>
      </c>
      <c r="N72" s="4">
        <f>IF($K72,INDEX(SuperheatedSI!E:E,$J72),"-")</f>
        <v>2775.4</v>
      </c>
      <c r="O72" s="4">
        <f>IF($K72,INDEX(SuperheatedSI!F:F,$J72),"-")</f>
        <v>3028.6</v>
      </c>
      <c r="P72" s="39">
        <f>IF($K72,INDEX(SuperheatedSI!G:G,$J72),"-")</f>
        <v>7.6299000000000001</v>
      </c>
    </row>
    <row r="73" spans="1:16" x14ac:dyDescent="0.2">
      <c r="A73" s="45">
        <v>6</v>
      </c>
      <c r="B73" s="36">
        <f t="shared" si="13"/>
        <v>56</v>
      </c>
      <c r="C73" s="36" t="b">
        <f t="shared" si="11"/>
        <v>1</v>
      </c>
      <c r="D73" s="4">
        <f>IF($C73,INDEX(SuperheatedSI!C:C,$B73),"-")</f>
        <v>280</v>
      </c>
      <c r="E73" s="41">
        <f>IF($C73,INDEX(SuperheatedSI!D:D,$B73),"-")</f>
        <v>1.6950000000000001</v>
      </c>
      <c r="F73" s="4">
        <f>IF($C73,INDEX(SuperheatedSI!E:E,$B73),"-")</f>
        <v>2778.6</v>
      </c>
      <c r="G73" s="4">
        <f>IF($C73,INDEX(SuperheatedSI!F:F,$B73),"-")</f>
        <v>3032.8</v>
      </c>
      <c r="H73" s="39">
        <f>IF($C73,INDEX(SuperheatedSI!G:G,$B73),"-")</f>
        <v>7.9554999999999998</v>
      </c>
      <c r="I73" s="26"/>
      <c r="J73" s="36">
        <f t="shared" si="14"/>
        <v>68</v>
      </c>
      <c r="K73" s="36" t="b">
        <f t="shared" si="12"/>
        <v>1</v>
      </c>
      <c r="L73" s="4">
        <f>IF($K73,INDEX(SuperheatedSI!C:C,$J73),"-")</f>
        <v>320</v>
      </c>
      <c r="M73" s="41">
        <f>IF($K73,INDEX(SuperheatedSI!D:D,$J73),"-")</f>
        <v>0.90700000000000003</v>
      </c>
      <c r="N73" s="4">
        <f>IF($K73,INDEX(SuperheatedSI!E:E,$J73),"-")</f>
        <v>2838.1</v>
      </c>
      <c r="O73" s="4">
        <f>IF($K73,INDEX(SuperheatedSI!F:F,$J73),"-")</f>
        <v>3110.1</v>
      </c>
      <c r="P73" s="39">
        <f>IF($K73,INDEX(SuperheatedSI!G:G,$J73),"-")</f>
        <v>7.7721999999999998</v>
      </c>
    </row>
    <row r="74" spans="1:16" x14ac:dyDescent="0.2">
      <c r="A74" s="45">
        <v>7</v>
      </c>
      <c r="B74" s="36">
        <f t="shared" si="13"/>
        <v>57</v>
      </c>
      <c r="C74" s="36" t="b">
        <f t="shared" si="11"/>
        <v>1</v>
      </c>
      <c r="D74" s="4">
        <f>IF($C74,INDEX(SuperheatedSI!C:C,$B74),"-")</f>
        <v>320</v>
      </c>
      <c r="E74" s="41">
        <f>IF($C74,INDEX(SuperheatedSI!D:D,$B74),"-")</f>
        <v>1.819</v>
      </c>
      <c r="F74" s="4">
        <f>IF($C74,INDEX(SuperheatedSI!E:E,$B74),"-")</f>
        <v>2840.6</v>
      </c>
      <c r="G74" s="4">
        <f>IF($C74,INDEX(SuperheatedSI!F:F,$B74),"-")</f>
        <v>3113.5</v>
      </c>
      <c r="H74" s="39">
        <f>IF($C74,INDEX(SuperheatedSI!G:G,$B74),"-")</f>
        <v>8.0963999999999992</v>
      </c>
      <c r="I74" s="26"/>
      <c r="J74" s="36">
        <f t="shared" si="14"/>
        <v>69</v>
      </c>
      <c r="K74" s="36" t="b">
        <f t="shared" si="12"/>
        <v>1</v>
      </c>
      <c r="L74" s="4">
        <f>IF($K74,INDEX(SuperheatedSI!C:C,$J74),"-")</f>
        <v>360</v>
      </c>
      <c r="M74" s="41">
        <f>IF($K74,INDEX(SuperheatedSI!D:D,$J74),"-")</f>
        <v>0.96899999999999997</v>
      </c>
      <c r="N74" s="4">
        <f>IF($K74,INDEX(SuperheatedSI!E:E,$J74),"-")</f>
        <v>2901.4</v>
      </c>
      <c r="O74" s="4">
        <f>IF($K74,INDEX(SuperheatedSI!F:F,$J74),"-")</f>
        <v>3192.2</v>
      </c>
      <c r="P74" s="39">
        <f>IF($K74,INDEX(SuperheatedSI!G:G,$J74),"-")</f>
        <v>7.9061000000000003</v>
      </c>
    </row>
    <row r="75" spans="1:16" x14ac:dyDescent="0.2">
      <c r="A75" s="45">
        <v>8</v>
      </c>
      <c r="B75" s="36">
        <f t="shared" si="13"/>
        <v>58</v>
      </c>
      <c r="C75" s="36" t="b">
        <f t="shared" si="11"/>
        <v>1</v>
      </c>
      <c r="D75" s="4">
        <f>IF($C75,INDEX(SuperheatedSI!C:C,$B75),"-")</f>
        <v>360</v>
      </c>
      <c r="E75" s="41">
        <f>IF($C75,INDEX(SuperheatedSI!D:D,$B75),"-")</f>
        <v>1.9430000000000001</v>
      </c>
      <c r="F75" s="4">
        <f>IF($C75,INDEX(SuperheatedSI!E:E,$B75),"-")</f>
        <v>2903.5</v>
      </c>
      <c r="G75" s="4">
        <f>IF($C75,INDEX(SuperheatedSI!F:F,$B75),"-")</f>
        <v>3195</v>
      </c>
      <c r="H75" s="39">
        <f>IF($C75,INDEX(SuperheatedSI!G:G,$B75),"-")</f>
        <v>8.2293000000000003</v>
      </c>
      <c r="I75" s="26"/>
      <c r="J75" s="36">
        <f t="shared" si="14"/>
        <v>70</v>
      </c>
      <c r="K75" s="36" t="b">
        <f t="shared" si="12"/>
        <v>1</v>
      </c>
      <c r="L75" s="4">
        <f>IF($K75,INDEX(SuperheatedSI!C:C,$J75),"-")</f>
        <v>400</v>
      </c>
      <c r="M75" s="41">
        <f>IF($K75,INDEX(SuperheatedSI!D:D,$J75),"-")</f>
        <v>1.032</v>
      </c>
      <c r="N75" s="4">
        <f>IF($K75,INDEX(SuperheatedSI!E:E,$J75),"-")</f>
        <v>2965.6</v>
      </c>
      <c r="O75" s="4">
        <f>IF($K75,INDEX(SuperheatedSI!F:F,$J75),"-")</f>
        <v>3275</v>
      </c>
      <c r="P75" s="39">
        <f>IF($K75,INDEX(SuperheatedSI!G:G,$J75),"-")</f>
        <v>8.0329999999999995</v>
      </c>
    </row>
    <row r="76" spans="1:16" x14ac:dyDescent="0.2">
      <c r="A76" s="45">
        <v>9</v>
      </c>
      <c r="B76" s="36">
        <f t="shared" si="13"/>
        <v>59</v>
      </c>
      <c r="C76" s="36" t="b">
        <f t="shared" si="11"/>
        <v>1</v>
      </c>
      <c r="D76" s="4">
        <f>IF($C76,INDEX(SuperheatedSI!C:C,$B76),"-")</f>
        <v>400</v>
      </c>
      <c r="E76" s="41">
        <f>IF($C76,INDEX(SuperheatedSI!D:D,$B76),"-")</f>
        <v>2.0670000000000002</v>
      </c>
      <c r="F76" s="4">
        <f>IF($C76,INDEX(SuperheatedSI!E:E,$B76),"-")</f>
        <v>2967.3</v>
      </c>
      <c r="G76" s="4">
        <f>IF($C76,INDEX(SuperheatedSI!F:F,$B76),"-")</f>
        <v>3277.4</v>
      </c>
      <c r="H76" s="39">
        <f>IF($C76,INDEX(SuperheatedSI!G:G,$B76),"-")</f>
        <v>8.3554999999999993</v>
      </c>
      <c r="I76" s="26"/>
      <c r="J76" s="36">
        <f t="shared" si="14"/>
        <v>71</v>
      </c>
      <c r="K76" s="36" t="b">
        <f t="shared" si="12"/>
        <v>1</v>
      </c>
      <c r="L76" s="4">
        <f>IF($K76,INDEX(SuperheatedSI!C:C,$J76),"-")</f>
        <v>440</v>
      </c>
      <c r="M76" s="41">
        <f>IF($K76,INDEX(SuperheatedSI!D:D,$J76),"-")</f>
        <v>1.0940000000000001</v>
      </c>
      <c r="N76" s="4">
        <f>IF($K76,INDEX(SuperheatedSI!E:E,$J76),"-")</f>
        <v>3030.6</v>
      </c>
      <c r="O76" s="4">
        <f>IF($K76,INDEX(SuperheatedSI!F:F,$J76),"-")</f>
        <v>3358.7</v>
      </c>
      <c r="P76" s="39">
        <f>IF($K76,INDEX(SuperheatedSI!G:G,$J76),"-")</f>
        <v>8.1538000000000004</v>
      </c>
    </row>
    <row r="77" spans="1:16" x14ac:dyDescent="0.2">
      <c r="A77" s="45">
        <v>10</v>
      </c>
      <c r="B77" s="36">
        <f t="shared" si="13"/>
        <v>60</v>
      </c>
      <c r="C77" s="36" t="b">
        <f t="shared" si="11"/>
        <v>1</v>
      </c>
      <c r="D77" s="4">
        <f>IF($C77,INDEX(SuperheatedSI!C:C,$B77),"-")</f>
        <v>440</v>
      </c>
      <c r="E77" s="41">
        <f>IF($C77,INDEX(SuperheatedSI!D:D,$B77),"-")</f>
        <v>2.1909999999999998</v>
      </c>
      <c r="F77" s="4">
        <f>IF($C77,INDEX(SuperheatedSI!E:E,$B77),"-")</f>
        <v>3032.1</v>
      </c>
      <c r="G77" s="4">
        <f>IF($C77,INDEX(SuperheatedSI!F:F,$B77),"-")</f>
        <v>3360.7</v>
      </c>
      <c r="H77" s="39">
        <f>IF($C77,INDEX(SuperheatedSI!G:G,$B77),"-")</f>
        <v>8.4756999999999998</v>
      </c>
      <c r="I77" s="26"/>
      <c r="J77" s="36">
        <f t="shared" si="14"/>
        <v>72</v>
      </c>
      <c r="K77" s="36" t="b">
        <f t="shared" si="12"/>
        <v>1</v>
      </c>
      <c r="L77" s="4">
        <f>IF($K77,INDEX(SuperheatedSI!C:C,$J77),"-")</f>
        <v>500</v>
      </c>
      <c r="M77" s="41">
        <f>IF($K77,INDEX(SuperheatedSI!D:D,$J77),"-")</f>
        <v>1.1870000000000001</v>
      </c>
      <c r="N77" s="4">
        <f>IF($K77,INDEX(SuperheatedSI!E:E,$J77),"-")</f>
        <v>3130</v>
      </c>
      <c r="O77" s="4">
        <f>IF($K77,INDEX(SuperheatedSI!F:F,$J77),"-")</f>
        <v>3486</v>
      </c>
      <c r="P77" s="39">
        <f>IF($K77,INDEX(SuperheatedSI!G:G,$J77),"-")</f>
        <v>8.3251000000000008</v>
      </c>
    </row>
    <row r="78" spans="1:16" x14ac:dyDescent="0.2">
      <c r="A78" s="45">
        <v>11</v>
      </c>
      <c r="B78" s="36">
        <f t="shared" si="13"/>
        <v>61</v>
      </c>
      <c r="C78" s="36" t="b">
        <f t="shared" si="11"/>
        <v>1</v>
      </c>
      <c r="D78" s="4">
        <f>IF($C78,INDEX(SuperheatedSI!C:C,$B78),"-")</f>
        <v>500</v>
      </c>
      <c r="E78" s="41">
        <f>IF($C78,INDEX(SuperheatedSI!D:D,$B78),"-")</f>
        <v>2.3759999999999999</v>
      </c>
      <c r="F78" s="4">
        <f>IF($C78,INDEX(SuperheatedSI!E:E,$B78),"-")</f>
        <v>3131.2</v>
      </c>
      <c r="G78" s="4">
        <f>IF($C78,INDEX(SuperheatedSI!F:F,$B78),"-")</f>
        <v>3487.6</v>
      </c>
      <c r="H78" s="39">
        <f>IF($C78,INDEX(SuperheatedSI!G:G,$B78),"-")</f>
        <v>8.6465999999999994</v>
      </c>
      <c r="I78" s="26"/>
      <c r="J78" s="36">
        <f t="shared" si="14"/>
        <v>73</v>
      </c>
      <c r="K78" s="36" t="b">
        <f t="shared" si="12"/>
        <v>1</v>
      </c>
      <c r="L78" s="4">
        <f>IF($K78,INDEX(SuperheatedSI!C:C,$J78),"-")</f>
        <v>600</v>
      </c>
      <c r="M78" s="41">
        <f>IF($K78,INDEX(SuperheatedSI!D:D,$J78),"-")</f>
        <v>1.341</v>
      </c>
      <c r="N78" s="4">
        <f>IF($K78,INDEX(SuperheatedSI!E:E,$J78),"-")</f>
        <v>3300.8</v>
      </c>
      <c r="O78" s="4">
        <f>IF($K78,INDEX(SuperheatedSI!F:F,$J78),"-")</f>
        <v>3703.2</v>
      </c>
      <c r="P78" s="39">
        <f>IF($K78,INDEX(SuperheatedSI!G:G,$J78),"-")</f>
        <v>8.5891999999999999</v>
      </c>
    </row>
    <row r="79" spans="1:16" x14ac:dyDescent="0.2">
      <c r="A79" s="45">
        <v>12</v>
      </c>
      <c r="B79" s="36">
        <f t="shared" si="13"/>
        <v>62</v>
      </c>
      <c r="C79" s="36" t="b">
        <f t="shared" si="11"/>
        <v>1</v>
      </c>
      <c r="D79" s="4">
        <f>IF($C79,INDEX(SuperheatedSI!C:C,$B79),"-")</f>
        <v>600</v>
      </c>
      <c r="E79" s="41">
        <f>IF($C79,INDEX(SuperheatedSI!D:D,$B79),"-")</f>
        <v>2.6850000000000001</v>
      </c>
      <c r="F79" s="4">
        <f>IF($C79,INDEX(SuperheatedSI!E:E,$B79),"-")</f>
        <v>3301.7</v>
      </c>
      <c r="G79" s="4">
        <f>IF($C79,INDEX(SuperheatedSI!F:F,$B79),"-")</f>
        <v>3704.3</v>
      </c>
      <c r="H79" s="39">
        <f>IF($C79,INDEX(SuperheatedSI!G:G,$B79),"-")</f>
        <v>8.9100999999999999</v>
      </c>
      <c r="I79" s="26"/>
      <c r="J79" s="36" t="str">
        <f t="shared" si="14"/>
        <v>-</v>
      </c>
      <c r="K79" s="36" t="b">
        <f t="shared" si="12"/>
        <v>0</v>
      </c>
      <c r="L79" s="4" t="str">
        <f>IF($K79,INDEX(SuperheatedSI!C:C,$J79),"-")</f>
        <v>-</v>
      </c>
      <c r="M79" s="41" t="str">
        <f>IF($K79,INDEX(SuperheatedSI!D:D,$J79),"-")</f>
        <v>-</v>
      </c>
      <c r="N79" s="4" t="str">
        <f>IF($K79,INDEX(SuperheatedSI!E:E,$J79),"-")</f>
        <v>-</v>
      </c>
      <c r="O79" s="4" t="str">
        <f>IF($K79,INDEX(SuperheatedSI!F:F,$J79),"-")</f>
        <v>-</v>
      </c>
      <c r="P79" s="39" t="str">
        <f>IF($K79,INDEX(SuperheatedSI!G:G,$J79),"-")</f>
        <v>-</v>
      </c>
    </row>
    <row r="80" spans="1:16" x14ac:dyDescent="0.2">
      <c r="A80" s="45">
        <v>13</v>
      </c>
      <c r="B80" s="36" t="str">
        <f t="shared" si="13"/>
        <v>-</v>
      </c>
      <c r="C80" s="36" t="b">
        <f t="shared" si="11"/>
        <v>0</v>
      </c>
      <c r="D80" s="4" t="str">
        <f>IF($C80,INDEX(SuperheatedSI!C:C,$B80),"-")</f>
        <v>-</v>
      </c>
      <c r="E80" s="41" t="str">
        <f>IF($C80,INDEX(SuperheatedSI!D:D,$B80),"-")</f>
        <v>-</v>
      </c>
      <c r="F80" s="4" t="str">
        <f>IF($C80,INDEX(SuperheatedSI!E:E,$B80),"-")</f>
        <v>-</v>
      </c>
      <c r="G80" s="4" t="str">
        <f>IF($C80,INDEX(SuperheatedSI!F:F,$B80),"-")</f>
        <v>-</v>
      </c>
      <c r="H80" s="39" t="str">
        <f>IF($C80,INDEX(SuperheatedSI!G:G,$B80),"-")</f>
        <v>-</v>
      </c>
      <c r="I80" s="26"/>
      <c r="J80" s="36" t="str">
        <f t="shared" si="14"/>
        <v>-</v>
      </c>
      <c r="K80" s="36" t="b">
        <f t="shared" si="12"/>
        <v>0</v>
      </c>
      <c r="L80" s="4" t="str">
        <f>IF($K80,INDEX(SuperheatedSI!C:C,$J80),"-")</f>
        <v>-</v>
      </c>
      <c r="M80" s="41" t="str">
        <f>IF($K80,INDEX(SuperheatedSI!D:D,$J80),"-")</f>
        <v>-</v>
      </c>
      <c r="N80" s="4" t="str">
        <f>IF($K80,INDEX(SuperheatedSI!E:E,$J80),"-")</f>
        <v>-</v>
      </c>
      <c r="O80" s="4" t="str">
        <f>IF($K80,INDEX(SuperheatedSI!F:F,$J80),"-")</f>
        <v>-</v>
      </c>
      <c r="P80" s="39" t="str">
        <f>IF($K80,INDEX(SuperheatedSI!G:G,$J80),"-")</f>
        <v>-</v>
      </c>
    </row>
    <row r="81" spans="1:16" x14ac:dyDescent="0.2">
      <c r="A81" s="45">
        <v>14</v>
      </c>
      <c r="B81" s="36" t="str">
        <f t="shared" si="13"/>
        <v>-</v>
      </c>
      <c r="C81" s="36" t="b">
        <f t="shared" si="11"/>
        <v>0</v>
      </c>
      <c r="D81" s="4" t="str">
        <f>IF($C81,INDEX(SuperheatedSI!C:C,$B81),"-")</f>
        <v>-</v>
      </c>
      <c r="E81" s="41" t="str">
        <f>IF($C81,INDEX(SuperheatedSI!D:D,$B81),"-")</f>
        <v>-</v>
      </c>
      <c r="F81" s="4" t="str">
        <f>IF($C81,INDEX(SuperheatedSI!E:E,$B81),"-")</f>
        <v>-</v>
      </c>
      <c r="G81" s="4" t="str">
        <f>IF($C81,INDEX(SuperheatedSI!F:F,$B81),"-")</f>
        <v>-</v>
      </c>
      <c r="H81" s="39" t="str">
        <f>IF($C81,INDEX(SuperheatedSI!G:G,$B81),"-")</f>
        <v>-</v>
      </c>
      <c r="I81" s="26"/>
      <c r="J81" s="36" t="str">
        <f t="shared" si="14"/>
        <v>-</v>
      </c>
      <c r="K81" s="36" t="b">
        <f t="shared" si="12"/>
        <v>0</v>
      </c>
      <c r="L81" s="4" t="str">
        <f>IF($K81,INDEX(SuperheatedSI!C:C,$J81),"-")</f>
        <v>-</v>
      </c>
      <c r="M81" s="41" t="str">
        <f>IF($K81,INDEX(SuperheatedSI!D:D,$J81),"-")</f>
        <v>-</v>
      </c>
      <c r="N81" s="4" t="str">
        <f>IF($K81,INDEX(SuperheatedSI!E:E,$J81),"-")</f>
        <v>-</v>
      </c>
      <c r="O81" s="4" t="str">
        <f>IF($K81,INDEX(SuperheatedSI!F:F,$J81),"-")</f>
        <v>-</v>
      </c>
      <c r="P81" s="39" t="str">
        <f>IF($K81,INDEX(SuperheatedSI!G:G,$J81),"-")</f>
        <v>-</v>
      </c>
    </row>
    <row r="82" spans="1:16" x14ac:dyDescent="0.2">
      <c r="A82" s="45">
        <v>15</v>
      </c>
      <c r="B82" s="36" t="str">
        <f t="shared" si="13"/>
        <v>-</v>
      </c>
      <c r="C82" s="36" t="b">
        <f t="shared" si="11"/>
        <v>0</v>
      </c>
      <c r="D82" s="4" t="str">
        <f>IF($C82,INDEX(SuperheatedSI!C:C,$B82),"-")</f>
        <v>-</v>
      </c>
      <c r="E82" s="41" t="str">
        <f>IF($C82,INDEX(SuperheatedSI!D:D,$B82),"-")</f>
        <v>-</v>
      </c>
      <c r="F82" s="4" t="str">
        <f>IF($C82,INDEX(SuperheatedSI!E:E,$B82),"-")</f>
        <v>-</v>
      </c>
      <c r="G82" s="4" t="str">
        <f>IF($C82,INDEX(SuperheatedSI!F:F,$B82),"-")</f>
        <v>-</v>
      </c>
      <c r="H82" s="39" t="str">
        <f>IF($C82,INDEX(SuperheatedSI!G:G,$B82),"-")</f>
        <v>-</v>
      </c>
      <c r="I82" s="26"/>
      <c r="J82" s="36" t="str">
        <f t="shared" si="14"/>
        <v>-</v>
      </c>
      <c r="K82" s="36" t="b">
        <f t="shared" si="12"/>
        <v>0</v>
      </c>
      <c r="L82" s="4" t="str">
        <f>IF($K82,INDEX(SuperheatedSI!C:C,$J82),"-")</f>
        <v>-</v>
      </c>
      <c r="M82" s="41" t="str">
        <f>IF($K82,INDEX(SuperheatedSI!D:D,$J82),"-")</f>
        <v>-</v>
      </c>
      <c r="N82" s="4" t="str">
        <f>IF($K82,INDEX(SuperheatedSI!E:E,$J82),"-")</f>
        <v>-</v>
      </c>
      <c r="O82" s="4" t="str">
        <f>IF($K82,INDEX(SuperheatedSI!F:F,$J82),"-")</f>
        <v>-</v>
      </c>
      <c r="P82" s="39" t="str">
        <f>IF($K82,INDEX(SuperheatedSI!G:G,$J82),"-")</f>
        <v>-</v>
      </c>
    </row>
    <row r="83" spans="1:16" x14ac:dyDescent="0.2">
      <c r="A83" s="45">
        <v>16</v>
      </c>
      <c r="B83" s="36" t="str">
        <f t="shared" si="13"/>
        <v>-</v>
      </c>
      <c r="C83" s="36" t="b">
        <f t="shared" si="11"/>
        <v>0</v>
      </c>
      <c r="D83" s="4" t="str">
        <f>IF($C83,INDEX(SuperheatedSI!C:C,$B83),"-")</f>
        <v>-</v>
      </c>
      <c r="E83" s="41" t="str">
        <f>IF($C83,INDEX(SuperheatedSI!D:D,$B83),"-")</f>
        <v>-</v>
      </c>
      <c r="F83" s="4" t="str">
        <f>IF($C83,INDEX(SuperheatedSI!E:E,$B83),"-")</f>
        <v>-</v>
      </c>
      <c r="G83" s="4" t="str">
        <f>IF($C83,INDEX(SuperheatedSI!F:F,$B83),"-")</f>
        <v>-</v>
      </c>
      <c r="H83" s="39" t="str">
        <f>IF($C83,INDEX(SuperheatedSI!G:G,$B83),"-")</f>
        <v>-</v>
      </c>
      <c r="I83" s="26"/>
      <c r="J83" s="36" t="str">
        <f t="shared" si="14"/>
        <v>-</v>
      </c>
      <c r="K83" s="36" t="b">
        <f t="shared" si="12"/>
        <v>0</v>
      </c>
      <c r="L83" s="4" t="str">
        <f>IF($K83,INDEX(SuperheatedSI!C:C,$J83),"-")</f>
        <v>-</v>
      </c>
      <c r="M83" s="41" t="str">
        <f>IF($K83,INDEX(SuperheatedSI!D:D,$J83),"-")</f>
        <v>-</v>
      </c>
      <c r="N83" s="4" t="str">
        <f>IF($K83,INDEX(SuperheatedSI!E:E,$J83),"-")</f>
        <v>-</v>
      </c>
      <c r="O83" s="4" t="str">
        <f>IF($K83,INDEX(SuperheatedSI!F:F,$J83),"-")</f>
        <v>-</v>
      </c>
      <c r="P83" s="39" t="str">
        <f>IF($K83,INDEX(SuperheatedSI!G:G,$J83),"-")</f>
        <v>-</v>
      </c>
    </row>
    <row r="84" spans="1:16" x14ac:dyDescent="0.2">
      <c r="A84" s="45">
        <v>17</v>
      </c>
      <c r="B84" s="36" t="str">
        <f t="shared" si="13"/>
        <v>-</v>
      </c>
      <c r="C84" s="36" t="b">
        <f t="shared" si="11"/>
        <v>0</v>
      </c>
      <c r="D84" s="4" t="str">
        <f>IF($C84,INDEX(SuperheatedSI!C:C,$B84),"-")</f>
        <v>-</v>
      </c>
      <c r="E84" s="41" t="str">
        <f>IF($C84,INDEX(SuperheatedSI!D:D,$B84),"-")</f>
        <v>-</v>
      </c>
      <c r="F84" s="4" t="str">
        <f>IF($C84,INDEX(SuperheatedSI!E:E,$B84),"-")</f>
        <v>-</v>
      </c>
      <c r="G84" s="4" t="str">
        <f>IF($C84,INDEX(SuperheatedSI!F:F,$B84),"-")</f>
        <v>-</v>
      </c>
      <c r="H84" s="39" t="str">
        <f>IF($C84,INDEX(SuperheatedSI!G:G,$B84),"-")</f>
        <v>-</v>
      </c>
      <c r="I84" s="26"/>
      <c r="J84" s="36" t="str">
        <f t="shared" si="14"/>
        <v>-</v>
      </c>
      <c r="K84" s="36" t="b">
        <f t="shared" si="12"/>
        <v>0</v>
      </c>
      <c r="L84" s="4" t="str">
        <f>IF($K84,INDEX(SuperheatedSI!C:C,$J84),"-")</f>
        <v>-</v>
      </c>
      <c r="M84" s="41" t="str">
        <f>IF($K84,INDEX(SuperheatedSI!D:D,$J84),"-")</f>
        <v>-</v>
      </c>
      <c r="N84" s="4" t="str">
        <f>IF($K84,INDEX(SuperheatedSI!E:E,$J84),"-")</f>
        <v>-</v>
      </c>
      <c r="O84" s="4" t="str">
        <f>IF($K84,INDEX(SuperheatedSI!F:F,$J84),"-")</f>
        <v>-</v>
      </c>
      <c r="P84" s="39" t="str">
        <f>IF($K84,INDEX(SuperheatedSI!G:G,$J84),"-")</f>
        <v>-</v>
      </c>
    </row>
    <row r="85" spans="1:16" x14ac:dyDescent="0.2">
      <c r="A85" s="45">
        <v>18</v>
      </c>
      <c r="B85" s="36" t="str">
        <f t="shared" si="13"/>
        <v>-</v>
      </c>
      <c r="C85" s="36" t="b">
        <f t="shared" si="11"/>
        <v>0</v>
      </c>
      <c r="D85" s="4" t="str">
        <f>IF($C85,INDEX(SuperheatedSI!C:C,$B85),"-")</f>
        <v>-</v>
      </c>
      <c r="E85" s="41" t="str">
        <f>IF($C85,INDEX(SuperheatedSI!D:D,$B85),"-")</f>
        <v>-</v>
      </c>
      <c r="F85" s="4" t="str">
        <f>IF($C85,INDEX(SuperheatedSI!E:E,$B85),"-")</f>
        <v>-</v>
      </c>
      <c r="G85" s="4" t="str">
        <f>IF($C85,INDEX(SuperheatedSI!F:F,$B85),"-")</f>
        <v>-</v>
      </c>
      <c r="H85" s="39" t="str">
        <f>IF($C85,INDEX(SuperheatedSI!G:G,$B85),"-")</f>
        <v>-</v>
      </c>
      <c r="I85" s="26"/>
      <c r="J85" s="36" t="str">
        <f t="shared" si="14"/>
        <v>-</v>
      </c>
      <c r="K85" s="36" t="b">
        <f t="shared" si="12"/>
        <v>0</v>
      </c>
      <c r="L85" s="4" t="str">
        <f>IF($K85,INDEX(SuperheatedSI!C:C,$J85),"-")</f>
        <v>-</v>
      </c>
      <c r="M85" s="41" t="str">
        <f>IF($K85,INDEX(SuperheatedSI!D:D,$J85),"-")</f>
        <v>-</v>
      </c>
      <c r="N85" s="4" t="str">
        <f>IF($K85,INDEX(SuperheatedSI!E:E,$J85),"-")</f>
        <v>-</v>
      </c>
      <c r="O85" s="4" t="str">
        <f>IF($K85,INDEX(SuperheatedSI!F:F,$J85),"-")</f>
        <v>-</v>
      </c>
      <c r="P85" s="39" t="str">
        <f>IF($K85,INDEX(SuperheatedSI!G:G,$J85),"-")</f>
        <v>-</v>
      </c>
    </row>
    <row r="86" spans="1:16" x14ac:dyDescent="0.2">
      <c r="A86" s="45">
        <v>19</v>
      </c>
      <c r="B86" s="36" t="str">
        <f t="shared" si="13"/>
        <v>-</v>
      </c>
      <c r="C86" s="36" t="b">
        <f t="shared" si="11"/>
        <v>0</v>
      </c>
      <c r="D86" s="4" t="str">
        <f>IF($C86,INDEX(SuperheatedSI!C:C,$B86),"-")</f>
        <v>-</v>
      </c>
      <c r="E86" s="41" t="str">
        <f>IF($C86,INDEX(SuperheatedSI!D:D,$B86),"-")</f>
        <v>-</v>
      </c>
      <c r="F86" s="4" t="str">
        <f>IF($C86,INDEX(SuperheatedSI!E:E,$B86),"-")</f>
        <v>-</v>
      </c>
      <c r="G86" s="4" t="str">
        <f>IF($C86,INDEX(SuperheatedSI!F:F,$B86),"-")</f>
        <v>-</v>
      </c>
      <c r="H86" s="39" t="str">
        <f>IF($C86,INDEX(SuperheatedSI!G:G,$B86),"-")</f>
        <v>-</v>
      </c>
      <c r="I86" s="26"/>
      <c r="J86" s="36" t="str">
        <f t="shared" si="14"/>
        <v>-</v>
      </c>
      <c r="K86" s="36" t="b">
        <f t="shared" si="12"/>
        <v>0</v>
      </c>
      <c r="L86" s="4" t="str">
        <f>IF($K86,INDEX(SuperheatedSI!C:C,$J86),"-")</f>
        <v>-</v>
      </c>
      <c r="M86" s="41" t="str">
        <f>IF($K86,INDEX(SuperheatedSI!D:D,$J86),"-")</f>
        <v>-</v>
      </c>
      <c r="N86" s="4" t="str">
        <f>IF($K86,INDEX(SuperheatedSI!E:E,$J86),"-")</f>
        <v>-</v>
      </c>
      <c r="O86" s="4" t="str">
        <f>IF($K86,INDEX(SuperheatedSI!F:F,$J86),"-")</f>
        <v>-</v>
      </c>
      <c r="P86" s="39" t="str">
        <f>IF($K86,INDEX(SuperheatedSI!G:G,$J86),"-")</f>
        <v>-</v>
      </c>
    </row>
    <row r="87" spans="1:16" x14ac:dyDescent="0.2">
      <c r="A87" s="45">
        <v>20</v>
      </c>
      <c r="B87" s="36" t="str">
        <f t="shared" si="13"/>
        <v>-</v>
      </c>
      <c r="C87" s="36" t="b">
        <f t="shared" si="11"/>
        <v>0</v>
      </c>
      <c r="D87" s="4" t="str">
        <f>IF($C87,INDEX(SuperheatedSI!C:C,$B87),"-")</f>
        <v>-</v>
      </c>
      <c r="E87" s="41" t="str">
        <f>IF($C87,INDEX(SuperheatedSI!D:D,$B87),"-")</f>
        <v>-</v>
      </c>
      <c r="F87" s="4" t="str">
        <f>IF($C87,INDEX(SuperheatedSI!E:E,$B87),"-")</f>
        <v>-</v>
      </c>
      <c r="G87" s="4" t="str">
        <f>IF($C87,INDEX(SuperheatedSI!F:F,$B87),"-")</f>
        <v>-</v>
      </c>
      <c r="H87" s="39" t="str">
        <f>IF($C87,INDEX(SuperheatedSI!G:G,$B87),"-")</f>
        <v>-</v>
      </c>
      <c r="I87" s="26"/>
      <c r="J87" s="36" t="str">
        <f t="shared" si="14"/>
        <v>-</v>
      </c>
      <c r="K87" s="36" t="b">
        <f t="shared" si="12"/>
        <v>0</v>
      </c>
      <c r="L87" s="4" t="str">
        <f>IF($K87,INDEX(SuperheatedSI!C:C,$J87),"-")</f>
        <v>-</v>
      </c>
      <c r="M87" s="41" t="str">
        <f>IF($K87,INDEX(SuperheatedSI!D:D,$J87),"-")</f>
        <v>-</v>
      </c>
      <c r="N87" s="4" t="str">
        <f>IF($K87,INDEX(SuperheatedSI!E:E,$J87),"-")</f>
        <v>-</v>
      </c>
      <c r="O87" s="4" t="str">
        <f>IF($K87,INDEX(SuperheatedSI!F:F,$J87),"-")</f>
        <v>-</v>
      </c>
      <c r="P87" s="39" t="str">
        <f>IF($K87,INDEX(SuperheatedSI!G:G,$J87),"-")</f>
        <v>-</v>
      </c>
    </row>
    <row r="88" spans="1:16" x14ac:dyDescent="0.2">
      <c r="A88" s="82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34"/>
    </row>
    <row r="89" spans="1:16" x14ac:dyDescent="0.2">
      <c r="A89" s="81">
        <f>A56</f>
        <v>7.5</v>
      </c>
      <c r="B89" s="26" t="s">
        <v>132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34"/>
    </row>
    <row r="90" spans="1:16" x14ac:dyDescent="0.2">
      <c r="A90" s="82"/>
      <c r="B90" s="26"/>
      <c r="C90" s="84" t="s">
        <v>97</v>
      </c>
      <c r="D90" s="26"/>
      <c r="E90" s="26"/>
      <c r="F90" s="26"/>
      <c r="G90" s="26"/>
      <c r="H90" s="36">
        <f t="shared" ref="H90" si="15">MATCH($A89,H68:H87)</f>
        <v>3</v>
      </c>
      <c r="I90" s="26"/>
      <c r="J90" s="26"/>
      <c r="K90" s="84" t="s">
        <v>97</v>
      </c>
      <c r="L90" s="26"/>
      <c r="M90" s="26"/>
      <c r="N90" s="26"/>
      <c r="O90" s="26"/>
      <c r="P90" s="36">
        <f t="shared" ref="P90" si="16">MATCH($A89,P68:P87)</f>
        <v>4</v>
      </c>
    </row>
    <row r="91" spans="1:16" x14ac:dyDescent="0.2">
      <c r="A91" s="82"/>
      <c r="B91" s="26"/>
      <c r="C91" s="84" t="s">
        <v>98</v>
      </c>
      <c r="D91" s="4">
        <f t="shared" ref="D91:G91" si="17">INDEX(D68:D87,$H$90)</f>
        <v>160</v>
      </c>
      <c r="E91" s="41">
        <f t="shared" si="17"/>
        <v>1.3169999999999999</v>
      </c>
      <c r="F91" s="4">
        <f t="shared" si="17"/>
        <v>2595.1999999999998</v>
      </c>
      <c r="G91" s="4">
        <f t="shared" si="17"/>
        <v>2792.8</v>
      </c>
      <c r="H91" s="39">
        <f>INDEX(H68:H87,$H$90)</f>
        <v>7.4664999999999999</v>
      </c>
      <c r="I91" s="26"/>
      <c r="J91" s="26"/>
      <c r="K91" s="84" t="s">
        <v>98</v>
      </c>
      <c r="L91" s="4">
        <f t="shared" ref="L91:O91" si="18">INDEX(L68:L87,$P$90)</f>
        <v>240</v>
      </c>
      <c r="M91" s="41">
        <f t="shared" si="18"/>
        <v>0.78100000000000003</v>
      </c>
      <c r="N91" s="4">
        <f t="shared" si="18"/>
        <v>2713.1</v>
      </c>
      <c r="O91" s="4">
        <f t="shared" si="18"/>
        <v>2947.3</v>
      </c>
      <c r="P91" s="39">
        <f>INDEX(P68:P87,$P$90)</f>
        <v>7.4774000000000003</v>
      </c>
    </row>
    <row r="92" spans="1:16" x14ac:dyDescent="0.2">
      <c r="A92" s="82"/>
      <c r="B92" s="26"/>
      <c r="C92" s="84" t="s">
        <v>109</v>
      </c>
      <c r="D92" s="26"/>
      <c r="E92" s="26"/>
      <c r="F92" s="26"/>
      <c r="G92" s="26"/>
      <c r="H92" s="39">
        <f>$A89</f>
        <v>7.5</v>
      </c>
      <c r="I92" s="26"/>
      <c r="J92" s="26"/>
      <c r="K92" s="84" t="s">
        <v>109</v>
      </c>
      <c r="L92" s="26"/>
      <c r="M92" s="26"/>
      <c r="N92" s="26"/>
      <c r="O92" s="26"/>
      <c r="P92" s="39">
        <f>$A89</f>
        <v>7.5</v>
      </c>
    </row>
    <row r="93" spans="1:16" x14ac:dyDescent="0.2">
      <c r="A93" s="82"/>
      <c r="B93" s="26"/>
      <c r="C93" s="84" t="s">
        <v>100</v>
      </c>
      <c r="D93" s="4">
        <f t="shared" ref="D93:G93" si="19">INDEX(D68:D87,$H$90+1)</f>
        <v>200</v>
      </c>
      <c r="E93" s="41">
        <f t="shared" si="19"/>
        <v>1.444</v>
      </c>
      <c r="F93" s="4">
        <f t="shared" si="19"/>
        <v>2656.2</v>
      </c>
      <c r="G93" s="4">
        <f t="shared" si="19"/>
        <v>2872.9</v>
      </c>
      <c r="H93" s="39">
        <f>INDEX(H68:H87,$H$90+1)</f>
        <v>7.6433</v>
      </c>
      <c r="I93" s="26"/>
      <c r="J93" s="26"/>
      <c r="K93" s="84" t="s">
        <v>100</v>
      </c>
      <c r="L93" s="4">
        <f>INDEX(L68:L87,$P$90+1)</f>
        <v>280</v>
      </c>
      <c r="M93" s="41">
        <f t="shared" ref="M93:P93" si="20">INDEX(M68:M87,$P$90+1)</f>
        <v>0.84399999999999997</v>
      </c>
      <c r="N93" s="4">
        <f t="shared" si="20"/>
        <v>2775.4</v>
      </c>
      <c r="O93" s="4">
        <f t="shared" si="20"/>
        <v>3028.6</v>
      </c>
      <c r="P93" s="39">
        <f t="shared" si="20"/>
        <v>7.6299000000000001</v>
      </c>
    </row>
    <row r="94" spans="1:16" x14ac:dyDescent="0.2">
      <c r="A94" s="82"/>
      <c r="B94" s="26"/>
      <c r="C94" s="84" t="s">
        <v>101</v>
      </c>
      <c r="D94" s="26"/>
      <c r="E94" s="26"/>
      <c r="F94" s="26"/>
      <c r="G94" s="26"/>
      <c r="H94" s="37">
        <f>(H92-H91)/(H93-H91)</f>
        <v>0.18947963800905018</v>
      </c>
      <c r="I94" s="26"/>
      <c r="J94" s="26"/>
      <c r="K94" s="84" t="s">
        <v>101</v>
      </c>
      <c r="L94" s="26"/>
      <c r="M94" s="26"/>
      <c r="N94" s="26"/>
      <c r="O94" s="26"/>
      <c r="P94" s="37">
        <f>(P92-P91)/(P93-P91)</f>
        <v>0.14819672131147379</v>
      </c>
    </row>
    <row r="95" spans="1:16" x14ac:dyDescent="0.2">
      <c r="A95" s="82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34"/>
    </row>
    <row r="96" spans="1:16" x14ac:dyDescent="0.2">
      <c r="A96" s="82"/>
      <c r="B96" s="26"/>
      <c r="C96" s="26"/>
      <c r="D96" s="46" t="s">
        <v>110</v>
      </c>
      <c r="E96" s="50"/>
      <c r="F96" s="50"/>
      <c r="G96" s="50"/>
      <c r="H96" s="51"/>
      <c r="I96" s="26"/>
      <c r="J96" s="26"/>
      <c r="K96" s="26"/>
      <c r="L96" s="46" t="s">
        <v>111</v>
      </c>
      <c r="M96" s="50"/>
      <c r="N96" s="50"/>
      <c r="O96" s="50"/>
      <c r="P96" s="51"/>
    </row>
    <row r="97" spans="1:16" x14ac:dyDescent="0.2">
      <c r="A97" s="82"/>
      <c r="B97" s="26"/>
      <c r="C97" s="26"/>
      <c r="D97" s="45" t="s">
        <v>129</v>
      </c>
      <c r="E97" s="75" t="s">
        <v>31</v>
      </c>
      <c r="F97" s="76" t="s">
        <v>29</v>
      </c>
      <c r="G97" s="76" t="s">
        <v>30</v>
      </c>
      <c r="H97" s="77" t="s">
        <v>32</v>
      </c>
      <c r="I97" s="26"/>
      <c r="J97" s="26"/>
      <c r="K97" s="26"/>
      <c r="L97" s="45" t="s">
        <v>129</v>
      </c>
      <c r="M97" s="75" t="s">
        <v>31</v>
      </c>
      <c r="N97" s="76" t="s">
        <v>29</v>
      </c>
      <c r="O97" s="76" t="s">
        <v>30</v>
      </c>
      <c r="P97" s="77" t="s">
        <v>32</v>
      </c>
    </row>
    <row r="98" spans="1:16" x14ac:dyDescent="0.2">
      <c r="A98" s="82"/>
      <c r="B98" s="26"/>
      <c r="C98" s="26"/>
      <c r="D98" s="4">
        <f>D91+$H$94*(D93-D91)</f>
        <v>167.57918552036202</v>
      </c>
      <c r="E98" s="41">
        <f t="shared" ref="E98:H98" si="21">E91+$H$94*(E93-E91)</f>
        <v>1.3410639140271494</v>
      </c>
      <c r="F98" s="4">
        <f t="shared" si="21"/>
        <v>2606.7582579185519</v>
      </c>
      <c r="G98" s="4">
        <f t="shared" si="21"/>
        <v>2807.9773190045253</v>
      </c>
      <c r="H98" s="39">
        <f t="shared" si="21"/>
        <v>7.5</v>
      </c>
      <c r="I98" s="26"/>
      <c r="J98" s="26"/>
      <c r="K98" s="26"/>
      <c r="L98" s="4">
        <f>L91+$P$94*(L93-L91)</f>
        <v>245.92786885245894</v>
      </c>
      <c r="M98" s="41">
        <f t="shared" ref="M98:P98" si="22">M91+$P$94*(M93-M91)</f>
        <v>0.79033639344262285</v>
      </c>
      <c r="N98" s="4">
        <f t="shared" si="22"/>
        <v>2722.332655737705</v>
      </c>
      <c r="O98" s="4">
        <f t="shared" si="22"/>
        <v>2959.3483934426231</v>
      </c>
      <c r="P98" s="39">
        <f t="shared" si="22"/>
        <v>7.5</v>
      </c>
    </row>
    <row r="99" spans="1:16" x14ac:dyDescent="0.2">
      <c r="A99" s="82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34"/>
    </row>
    <row r="100" spans="1:16" x14ac:dyDescent="0.2">
      <c r="A100" s="83">
        <f>A59</f>
        <v>150</v>
      </c>
      <c r="B100" s="26" t="s">
        <v>92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34"/>
    </row>
    <row r="101" spans="1:16" x14ac:dyDescent="0.2">
      <c r="A101" s="83">
        <f>A55</f>
        <v>193</v>
      </c>
      <c r="B101" s="26" t="s">
        <v>104</v>
      </c>
      <c r="C101" s="26"/>
      <c r="D101" s="46" t="s">
        <v>112</v>
      </c>
      <c r="E101" s="50"/>
      <c r="F101" s="50"/>
      <c r="G101" s="50"/>
      <c r="H101" s="51"/>
      <c r="I101" s="26"/>
      <c r="J101" s="26"/>
      <c r="K101" s="26"/>
      <c r="L101" s="26"/>
      <c r="M101" s="26"/>
      <c r="N101" s="26"/>
      <c r="O101" s="26"/>
      <c r="P101" s="34"/>
    </row>
    <row r="102" spans="1:16" x14ac:dyDescent="0.2">
      <c r="A102" s="83">
        <f>A62</f>
        <v>300</v>
      </c>
      <c r="B102" s="26" t="s">
        <v>106</v>
      </c>
      <c r="C102" s="26"/>
      <c r="D102" s="45" t="s">
        <v>129</v>
      </c>
      <c r="E102" s="75" t="s">
        <v>31</v>
      </c>
      <c r="F102" s="76" t="s">
        <v>29</v>
      </c>
      <c r="G102" s="76" t="s">
        <v>30</v>
      </c>
      <c r="H102" s="77" t="s">
        <v>32</v>
      </c>
      <c r="I102" s="26"/>
      <c r="J102" s="26"/>
      <c r="K102" s="26"/>
      <c r="L102" s="26"/>
      <c r="M102" s="26"/>
      <c r="N102" s="26"/>
      <c r="O102" s="26"/>
      <c r="P102" s="34"/>
    </row>
    <row r="103" spans="1:16" x14ac:dyDescent="0.2">
      <c r="A103" s="37">
        <f>(A101-A100)/(A102-A100)</f>
        <v>0.28666666666666668</v>
      </c>
      <c r="B103" s="30" t="s">
        <v>101</v>
      </c>
      <c r="C103" s="30"/>
      <c r="D103" s="4">
        <f>D98+$A$103*(L98-D98)</f>
        <v>190.03914140889646</v>
      </c>
      <c r="E103" s="41">
        <f t="shared" ref="E103:H103" si="23">E98+$A$103*(M98-E98)</f>
        <v>1.1831886914595851</v>
      </c>
      <c r="F103" s="4">
        <f t="shared" si="23"/>
        <v>2639.8895852933756</v>
      </c>
      <c r="G103" s="4">
        <f t="shared" si="23"/>
        <v>2851.3703603434465</v>
      </c>
      <c r="H103" s="39">
        <f t="shared" si="23"/>
        <v>7.5</v>
      </c>
      <c r="I103" s="30"/>
      <c r="J103" s="30"/>
      <c r="K103" s="30"/>
      <c r="L103" s="30"/>
      <c r="M103" s="30"/>
      <c r="N103" s="30"/>
      <c r="O103" s="30"/>
      <c r="P103" s="35"/>
    </row>
    <row r="105" spans="1:16" ht="15.75" x14ac:dyDescent="0.25">
      <c r="A105" s="74" t="s">
        <v>113</v>
      </c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 x14ac:dyDescent="0.2">
      <c r="A106" s="85">
        <v>201</v>
      </c>
      <c r="B106" s="18" t="s">
        <v>27</v>
      </c>
      <c r="C106" s="73" t="s">
        <v>27</v>
      </c>
      <c r="D106" s="45" t="s">
        <v>129</v>
      </c>
      <c r="E106" s="75" t="s">
        <v>31</v>
      </c>
      <c r="F106" s="76" t="s">
        <v>29</v>
      </c>
      <c r="G106" s="76" t="s">
        <v>30</v>
      </c>
      <c r="H106" s="77" t="s">
        <v>32</v>
      </c>
      <c r="I106" s="101" t="s">
        <v>128</v>
      </c>
      <c r="J106" s="50"/>
      <c r="K106" s="50"/>
      <c r="L106" s="50"/>
      <c r="M106" s="50"/>
      <c r="N106" s="50"/>
      <c r="O106" s="50"/>
      <c r="P106" s="51"/>
    </row>
    <row r="107" spans="1:16" x14ac:dyDescent="0.2">
      <c r="A107" s="57">
        <v>3100</v>
      </c>
      <c r="B107" s="36" t="s">
        <v>130</v>
      </c>
      <c r="C107" s="79">
        <f>A106</f>
        <v>201</v>
      </c>
      <c r="D107" s="79">
        <f>D154</f>
        <v>313.89824434967045</v>
      </c>
      <c r="E107" s="80">
        <f t="shared" ref="E107:H107" si="24">E154</f>
        <v>1.4925747906128126</v>
      </c>
      <c r="F107" s="79">
        <f t="shared" si="24"/>
        <v>2830.2627842634615</v>
      </c>
      <c r="G107" s="79">
        <f t="shared" si="24"/>
        <v>3100</v>
      </c>
      <c r="H107" s="81">
        <f t="shared" si="24"/>
        <v>7.9646195767646581</v>
      </c>
      <c r="I107" s="101" t="s">
        <v>202</v>
      </c>
      <c r="J107" s="50"/>
      <c r="K107" s="50"/>
      <c r="L107" s="50"/>
      <c r="M107" s="50"/>
      <c r="N107" s="50"/>
      <c r="O107" s="50"/>
      <c r="P107" s="51"/>
    </row>
    <row r="108" spans="1:16" x14ac:dyDescent="0.2">
      <c r="A108" s="82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34"/>
    </row>
    <row r="109" spans="1:16" x14ac:dyDescent="0.2">
      <c r="A109" s="36">
        <f>MATCH(A106,SuperheatedSI!A:A)</f>
        <v>51</v>
      </c>
      <c r="B109" s="26" t="s">
        <v>85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34"/>
    </row>
    <row r="110" spans="1:16" x14ac:dyDescent="0.2">
      <c r="A110" s="36">
        <f>INDEX(SuperheatedSI!B:B,A109)</f>
        <v>150</v>
      </c>
      <c r="B110" s="26" t="s">
        <v>86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34"/>
    </row>
    <row r="111" spans="1:16" x14ac:dyDescent="0.2">
      <c r="A111" s="36">
        <f>COUNTIF(SuperheatedSI!B:B,A110)</f>
        <v>12</v>
      </c>
      <c r="B111" s="26" t="s">
        <v>87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34"/>
    </row>
    <row r="112" spans="1:16" x14ac:dyDescent="0.2">
      <c r="A112" s="36">
        <f>A109+A111</f>
        <v>63</v>
      </c>
      <c r="B112" s="26" t="s">
        <v>88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34"/>
    </row>
    <row r="113" spans="1:16" x14ac:dyDescent="0.2">
      <c r="A113" s="36">
        <f>INDEX(SuperheatedSI!B:B,A112)</f>
        <v>300</v>
      </c>
      <c r="B113" s="26" t="s">
        <v>89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34"/>
    </row>
    <row r="114" spans="1:16" x14ac:dyDescent="0.2">
      <c r="A114" s="36">
        <f>COUNTIF(SuperheatedSI!B:B,A113)</f>
        <v>11</v>
      </c>
      <c r="B114" s="26" t="s">
        <v>90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34"/>
    </row>
    <row r="115" spans="1:16" x14ac:dyDescent="0.2">
      <c r="A115" s="36" t="b">
        <f>AND(A110&lt;=A106,A113&gt;A106)</f>
        <v>1</v>
      </c>
      <c r="B115" s="26" t="s">
        <v>91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34"/>
    </row>
    <row r="116" spans="1:16" x14ac:dyDescent="0.2">
      <c r="A116" s="82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34"/>
    </row>
    <row r="117" spans="1:16" x14ac:dyDescent="0.2">
      <c r="A117" s="82"/>
      <c r="B117" s="46" t="s">
        <v>92</v>
      </c>
      <c r="C117" s="50"/>
      <c r="D117" s="47">
        <f>A110</f>
        <v>150</v>
      </c>
      <c r="E117" s="47" t="s">
        <v>222</v>
      </c>
      <c r="F117" s="50"/>
      <c r="G117" s="50"/>
      <c r="H117" s="51"/>
      <c r="I117" s="26"/>
      <c r="J117" s="46" t="s">
        <v>93</v>
      </c>
      <c r="K117" s="50"/>
      <c r="L117" s="47">
        <f>A113</f>
        <v>300</v>
      </c>
      <c r="M117" s="47" t="s">
        <v>222</v>
      </c>
      <c r="N117" s="50"/>
      <c r="O117" s="50"/>
      <c r="P117" s="51"/>
    </row>
    <row r="118" spans="1:16" x14ac:dyDescent="0.2">
      <c r="A118" s="45" t="s">
        <v>42</v>
      </c>
      <c r="B118" s="36" t="s">
        <v>94</v>
      </c>
      <c r="C118" s="36" t="s">
        <v>95</v>
      </c>
      <c r="D118" s="45" t="s">
        <v>129</v>
      </c>
      <c r="E118" s="75" t="s">
        <v>31</v>
      </c>
      <c r="F118" s="76" t="s">
        <v>29</v>
      </c>
      <c r="G118" s="76" t="s">
        <v>30</v>
      </c>
      <c r="H118" s="77" t="s">
        <v>32</v>
      </c>
      <c r="I118" s="26"/>
      <c r="J118" s="36" t="s">
        <v>94</v>
      </c>
      <c r="K118" s="36" t="s">
        <v>95</v>
      </c>
      <c r="L118" s="45" t="s">
        <v>129</v>
      </c>
      <c r="M118" s="75" t="s">
        <v>31</v>
      </c>
      <c r="N118" s="76" t="s">
        <v>29</v>
      </c>
      <c r="O118" s="76" t="s">
        <v>30</v>
      </c>
      <c r="P118" s="77" t="s">
        <v>32</v>
      </c>
    </row>
    <row r="119" spans="1:16" x14ac:dyDescent="0.2">
      <c r="A119" s="45">
        <v>1</v>
      </c>
      <c r="B119" s="83">
        <f>A109</f>
        <v>51</v>
      </c>
      <c r="C119" s="36" t="b">
        <f>ISNUMBER(B119)</f>
        <v>1</v>
      </c>
      <c r="D119" s="4">
        <f>IF($C119,INDEX(SuperheatedSI!C:C,$B119),"-")</f>
        <v>111.37</v>
      </c>
      <c r="E119" s="41">
        <f>IF($C119,INDEX(SuperheatedSI!D:D,$B119),"-")</f>
        <v>1.159</v>
      </c>
      <c r="F119" s="4">
        <f>IF($C119,INDEX(SuperheatedSI!E:E,$B119),"-")</f>
        <v>2519.6999999999998</v>
      </c>
      <c r="G119" s="4">
        <f>IF($C119,INDEX(SuperheatedSI!F:F,$B119),"-")</f>
        <v>2693.6</v>
      </c>
      <c r="H119" s="39">
        <f>IF($C119,INDEX(SuperheatedSI!G:G,$B119),"-")</f>
        <v>7.2233000000000001</v>
      </c>
      <c r="I119" s="26"/>
      <c r="J119" s="83">
        <f>A112</f>
        <v>63</v>
      </c>
      <c r="K119" s="36" t="b">
        <f>ISNUMBER(J119)</f>
        <v>1</v>
      </c>
      <c r="L119" s="4">
        <f>IF($K119,INDEX(SuperheatedSI!C:C,$J119),"-")</f>
        <v>133.55000000000001</v>
      </c>
      <c r="M119" s="41">
        <f>IF($K119,INDEX(SuperheatedSI!D:D,$J119),"-")</f>
        <v>0.60599999999999998</v>
      </c>
      <c r="N119" s="4">
        <f>IF($K119,INDEX(SuperheatedSI!E:E,$J119),"-")</f>
        <v>2543.6</v>
      </c>
      <c r="O119" s="4">
        <f>IF($K119,INDEX(SuperheatedSI!F:F,$J119),"-")</f>
        <v>2725.3</v>
      </c>
      <c r="P119" s="39">
        <f>IF($K119,INDEX(SuperheatedSI!G:G,$J119),"-")</f>
        <v>6.9919000000000002</v>
      </c>
    </row>
    <row r="120" spans="1:16" x14ac:dyDescent="0.2">
      <c r="A120" s="45">
        <v>2</v>
      </c>
      <c r="B120" s="36">
        <f>IF($A120&gt;$A$111,"-",B119+1)</f>
        <v>52</v>
      </c>
      <c r="C120" s="36" t="b">
        <f t="shared" ref="C120:C138" si="25">ISNUMBER(B120)</f>
        <v>1</v>
      </c>
      <c r="D120" s="4">
        <f>IF($C120,INDEX(SuperheatedSI!C:C,$B120),"-")</f>
        <v>120</v>
      </c>
      <c r="E120" s="41">
        <f>IF($C120,INDEX(SuperheatedSI!D:D,$B120),"-")</f>
        <v>1.1879999999999999</v>
      </c>
      <c r="F120" s="4">
        <f>IF($C120,INDEX(SuperheatedSI!E:E,$B120),"-")</f>
        <v>2533.3000000000002</v>
      </c>
      <c r="G120" s="4">
        <f>IF($C120,INDEX(SuperheatedSI!F:F,$B120),"-")</f>
        <v>2711.4</v>
      </c>
      <c r="H120" s="39">
        <f>IF($C120,INDEX(SuperheatedSI!G:G,$B120),"-")</f>
        <v>7.2693000000000003</v>
      </c>
      <c r="I120" s="26"/>
      <c r="J120" s="36">
        <f>IF($A120&gt;$A$114,"-",J119+1)</f>
        <v>64</v>
      </c>
      <c r="K120" s="36" t="b">
        <f t="shared" ref="K120:K138" si="26">ISNUMBER(J120)</f>
        <v>1</v>
      </c>
      <c r="L120" s="4">
        <f>IF($K120,INDEX(SuperheatedSI!C:C,$J120),"-")</f>
        <v>160</v>
      </c>
      <c r="M120" s="41">
        <f>IF($K120,INDEX(SuperheatedSI!D:D,$J120),"-")</f>
        <v>0.65100000000000002</v>
      </c>
      <c r="N120" s="4">
        <f>IF($K120,INDEX(SuperheatedSI!E:E,$J120),"-")</f>
        <v>2587.1</v>
      </c>
      <c r="O120" s="4">
        <f>IF($K120,INDEX(SuperheatedSI!F:F,$J120),"-")</f>
        <v>2782.3</v>
      </c>
      <c r="P120" s="39">
        <f>IF($K120,INDEX(SuperheatedSI!G:G,$J120),"-")</f>
        <v>7.1276000000000002</v>
      </c>
    </row>
    <row r="121" spans="1:16" x14ac:dyDescent="0.2">
      <c r="A121" s="45">
        <v>3</v>
      </c>
      <c r="B121" s="36">
        <f t="shared" ref="B121:B138" si="27">IF($A121&gt;$A$111,"-",B120+1)</f>
        <v>53</v>
      </c>
      <c r="C121" s="36" t="b">
        <f t="shared" si="25"/>
        <v>1</v>
      </c>
      <c r="D121" s="4">
        <f>IF($C121,INDEX(SuperheatedSI!C:C,$B121),"-")</f>
        <v>160</v>
      </c>
      <c r="E121" s="41">
        <f>IF($C121,INDEX(SuperheatedSI!D:D,$B121),"-")</f>
        <v>1.3169999999999999</v>
      </c>
      <c r="F121" s="4">
        <f>IF($C121,INDEX(SuperheatedSI!E:E,$B121),"-")</f>
        <v>2595.1999999999998</v>
      </c>
      <c r="G121" s="4">
        <f>IF($C121,INDEX(SuperheatedSI!F:F,$B121),"-")</f>
        <v>2792.8</v>
      </c>
      <c r="H121" s="39">
        <f>IF($C121,INDEX(SuperheatedSI!G:G,$B121),"-")</f>
        <v>7.4664999999999999</v>
      </c>
      <c r="I121" s="26"/>
      <c r="J121" s="36">
        <f t="shared" ref="J121:J138" si="28">IF($A121&gt;$A$114,"-",J120+1)</f>
        <v>65</v>
      </c>
      <c r="K121" s="36" t="b">
        <f t="shared" si="26"/>
        <v>1</v>
      </c>
      <c r="L121" s="4">
        <f>IF($K121,INDEX(SuperheatedSI!C:C,$J121),"-")</f>
        <v>200</v>
      </c>
      <c r="M121" s="41">
        <f>IF($K121,INDEX(SuperheatedSI!D:D,$J121),"-")</f>
        <v>0.71599999999999997</v>
      </c>
      <c r="N121" s="4">
        <f>IF($K121,INDEX(SuperheatedSI!E:E,$J121),"-")</f>
        <v>2650.7</v>
      </c>
      <c r="O121" s="4">
        <f>IF($K121,INDEX(SuperheatedSI!F:F,$J121),"-")</f>
        <v>2865.5</v>
      </c>
      <c r="P121" s="39">
        <f>IF($K121,INDEX(SuperheatedSI!G:G,$J121),"-")</f>
        <v>7.3114999999999997</v>
      </c>
    </row>
    <row r="122" spans="1:16" x14ac:dyDescent="0.2">
      <c r="A122" s="45">
        <v>4</v>
      </c>
      <c r="B122" s="36">
        <f t="shared" si="27"/>
        <v>54</v>
      </c>
      <c r="C122" s="36" t="b">
        <f t="shared" si="25"/>
        <v>1</v>
      </c>
      <c r="D122" s="4">
        <f>IF($C122,INDEX(SuperheatedSI!C:C,$B122),"-")</f>
        <v>200</v>
      </c>
      <c r="E122" s="41">
        <f>IF($C122,INDEX(SuperheatedSI!D:D,$B122),"-")</f>
        <v>1.444</v>
      </c>
      <c r="F122" s="4">
        <f>IF($C122,INDEX(SuperheatedSI!E:E,$B122),"-")</f>
        <v>2656.2</v>
      </c>
      <c r="G122" s="4">
        <f>IF($C122,INDEX(SuperheatedSI!F:F,$B122),"-")</f>
        <v>2872.9</v>
      </c>
      <c r="H122" s="39">
        <f>IF($C122,INDEX(SuperheatedSI!G:G,$B122),"-")</f>
        <v>7.6433</v>
      </c>
      <c r="I122" s="26"/>
      <c r="J122" s="36">
        <f t="shared" si="28"/>
        <v>66</v>
      </c>
      <c r="K122" s="36" t="b">
        <f t="shared" si="26"/>
        <v>1</v>
      </c>
      <c r="L122" s="4">
        <f>IF($K122,INDEX(SuperheatedSI!C:C,$J122),"-")</f>
        <v>240</v>
      </c>
      <c r="M122" s="41">
        <f>IF($K122,INDEX(SuperheatedSI!D:D,$J122),"-")</f>
        <v>0.78100000000000003</v>
      </c>
      <c r="N122" s="4">
        <f>IF($K122,INDEX(SuperheatedSI!E:E,$J122),"-")</f>
        <v>2713.1</v>
      </c>
      <c r="O122" s="4">
        <f>IF($K122,INDEX(SuperheatedSI!F:F,$J122),"-")</f>
        <v>2947.3</v>
      </c>
      <c r="P122" s="39">
        <f>IF($K122,INDEX(SuperheatedSI!G:G,$J122),"-")</f>
        <v>7.4774000000000003</v>
      </c>
    </row>
    <row r="123" spans="1:16" x14ac:dyDescent="0.2">
      <c r="A123" s="45">
        <v>5</v>
      </c>
      <c r="B123" s="36">
        <f t="shared" si="27"/>
        <v>55</v>
      </c>
      <c r="C123" s="36" t="b">
        <f t="shared" si="25"/>
        <v>1</v>
      </c>
      <c r="D123" s="4">
        <f>IF($C123,INDEX(SuperheatedSI!C:C,$B123),"-")</f>
        <v>240</v>
      </c>
      <c r="E123" s="41">
        <f>IF($C123,INDEX(SuperheatedSI!D:D,$B123),"-")</f>
        <v>1.57</v>
      </c>
      <c r="F123" s="4">
        <f>IF($C123,INDEX(SuperheatedSI!E:E,$B123),"-")</f>
        <v>2717.2</v>
      </c>
      <c r="G123" s="4">
        <f>IF($C123,INDEX(SuperheatedSI!F:F,$B123),"-")</f>
        <v>2952.7</v>
      </c>
      <c r="H123" s="39">
        <f>IF($C123,INDEX(SuperheatedSI!G:G,$B123),"-")</f>
        <v>7.8052000000000001</v>
      </c>
      <c r="I123" s="26"/>
      <c r="J123" s="36">
        <f t="shared" si="28"/>
        <v>67</v>
      </c>
      <c r="K123" s="36" t="b">
        <f t="shared" si="26"/>
        <v>1</v>
      </c>
      <c r="L123" s="4">
        <f>IF($K123,INDEX(SuperheatedSI!C:C,$J123),"-")</f>
        <v>280</v>
      </c>
      <c r="M123" s="41">
        <f>IF($K123,INDEX(SuperheatedSI!D:D,$J123),"-")</f>
        <v>0.84399999999999997</v>
      </c>
      <c r="N123" s="4">
        <f>IF($K123,INDEX(SuperheatedSI!E:E,$J123),"-")</f>
        <v>2775.4</v>
      </c>
      <c r="O123" s="4">
        <f>IF($K123,INDEX(SuperheatedSI!F:F,$J123),"-")</f>
        <v>3028.6</v>
      </c>
      <c r="P123" s="39">
        <f>IF($K123,INDEX(SuperheatedSI!G:G,$J123),"-")</f>
        <v>7.6299000000000001</v>
      </c>
    </row>
    <row r="124" spans="1:16" x14ac:dyDescent="0.2">
      <c r="A124" s="45">
        <v>6</v>
      </c>
      <c r="B124" s="36">
        <f t="shared" si="27"/>
        <v>56</v>
      </c>
      <c r="C124" s="36" t="b">
        <f t="shared" si="25"/>
        <v>1</v>
      </c>
      <c r="D124" s="4">
        <f>IF($C124,INDEX(SuperheatedSI!C:C,$B124),"-")</f>
        <v>280</v>
      </c>
      <c r="E124" s="41">
        <f>IF($C124,INDEX(SuperheatedSI!D:D,$B124),"-")</f>
        <v>1.6950000000000001</v>
      </c>
      <c r="F124" s="4">
        <f>IF($C124,INDEX(SuperheatedSI!E:E,$B124),"-")</f>
        <v>2778.6</v>
      </c>
      <c r="G124" s="4">
        <f>IF($C124,INDEX(SuperheatedSI!F:F,$B124),"-")</f>
        <v>3032.8</v>
      </c>
      <c r="H124" s="39">
        <f>IF($C124,INDEX(SuperheatedSI!G:G,$B124),"-")</f>
        <v>7.9554999999999998</v>
      </c>
      <c r="I124" s="26"/>
      <c r="J124" s="36">
        <f t="shared" si="28"/>
        <v>68</v>
      </c>
      <c r="K124" s="36" t="b">
        <f t="shared" si="26"/>
        <v>1</v>
      </c>
      <c r="L124" s="4">
        <f>IF($K124,INDEX(SuperheatedSI!C:C,$J124),"-")</f>
        <v>320</v>
      </c>
      <c r="M124" s="41">
        <f>IF($K124,INDEX(SuperheatedSI!D:D,$J124),"-")</f>
        <v>0.90700000000000003</v>
      </c>
      <c r="N124" s="4">
        <f>IF($K124,INDEX(SuperheatedSI!E:E,$J124),"-")</f>
        <v>2838.1</v>
      </c>
      <c r="O124" s="4">
        <f>IF($K124,INDEX(SuperheatedSI!F:F,$J124),"-")</f>
        <v>3110.1</v>
      </c>
      <c r="P124" s="39">
        <f>IF($K124,INDEX(SuperheatedSI!G:G,$J124),"-")</f>
        <v>7.7721999999999998</v>
      </c>
    </row>
    <row r="125" spans="1:16" x14ac:dyDescent="0.2">
      <c r="A125" s="45">
        <v>7</v>
      </c>
      <c r="B125" s="36">
        <f t="shared" si="27"/>
        <v>57</v>
      </c>
      <c r="C125" s="36" t="b">
        <f t="shared" si="25"/>
        <v>1</v>
      </c>
      <c r="D125" s="4">
        <f>IF($C125,INDEX(SuperheatedSI!C:C,$B125),"-")</f>
        <v>320</v>
      </c>
      <c r="E125" s="41">
        <f>IF($C125,INDEX(SuperheatedSI!D:D,$B125),"-")</f>
        <v>1.819</v>
      </c>
      <c r="F125" s="4">
        <f>IF($C125,INDEX(SuperheatedSI!E:E,$B125),"-")</f>
        <v>2840.6</v>
      </c>
      <c r="G125" s="4">
        <f>IF($C125,INDEX(SuperheatedSI!F:F,$B125),"-")</f>
        <v>3113.5</v>
      </c>
      <c r="H125" s="39">
        <f>IF($C125,INDEX(SuperheatedSI!G:G,$B125),"-")</f>
        <v>8.0963999999999992</v>
      </c>
      <c r="I125" s="26"/>
      <c r="J125" s="36">
        <f t="shared" si="28"/>
        <v>69</v>
      </c>
      <c r="K125" s="36" t="b">
        <f t="shared" si="26"/>
        <v>1</v>
      </c>
      <c r="L125" s="4">
        <f>IF($K125,INDEX(SuperheatedSI!C:C,$J125),"-")</f>
        <v>360</v>
      </c>
      <c r="M125" s="41">
        <f>IF($K125,INDEX(SuperheatedSI!D:D,$J125),"-")</f>
        <v>0.96899999999999997</v>
      </c>
      <c r="N125" s="4">
        <f>IF($K125,INDEX(SuperheatedSI!E:E,$J125),"-")</f>
        <v>2901.4</v>
      </c>
      <c r="O125" s="4">
        <f>IF($K125,INDEX(SuperheatedSI!F:F,$J125),"-")</f>
        <v>3192.2</v>
      </c>
      <c r="P125" s="39">
        <f>IF($K125,INDEX(SuperheatedSI!G:G,$J125),"-")</f>
        <v>7.9061000000000003</v>
      </c>
    </row>
    <row r="126" spans="1:16" x14ac:dyDescent="0.2">
      <c r="A126" s="45">
        <v>8</v>
      </c>
      <c r="B126" s="36">
        <f t="shared" si="27"/>
        <v>58</v>
      </c>
      <c r="C126" s="36" t="b">
        <f t="shared" si="25"/>
        <v>1</v>
      </c>
      <c r="D126" s="4">
        <f>IF($C126,INDEX(SuperheatedSI!C:C,$B126),"-")</f>
        <v>360</v>
      </c>
      <c r="E126" s="41">
        <f>IF($C126,INDEX(SuperheatedSI!D:D,$B126),"-")</f>
        <v>1.9430000000000001</v>
      </c>
      <c r="F126" s="4">
        <f>IF($C126,INDEX(SuperheatedSI!E:E,$B126),"-")</f>
        <v>2903.5</v>
      </c>
      <c r="G126" s="4">
        <f>IF($C126,INDEX(SuperheatedSI!F:F,$B126),"-")</f>
        <v>3195</v>
      </c>
      <c r="H126" s="39">
        <f>IF($C126,INDEX(SuperheatedSI!G:G,$B126),"-")</f>
        <v>8.2293000000000003</v>
      </c>
      <c r="I126" s="26"/>
      <c r="J126" s="36">
        <f t="shared" si="28"/>
        <v>70</v>
      </c>
      <c r="K126" s="36" t="b">
        <f t="shared" si="26"/>
        <v>1</v>
      </c>
      <c r="L126" s="4">
        <f>IF($K126,INDEX(SuperheatedSI!C:C,$J126),"-")</f>
        <v>400</v>
      </c>
      <c r="M126" s="41">
        <f>IF($K126,INDEX(SuperheatedSI!D:D,$J126),"-")</f>
        <v>1.032</v>
      </c>
      <c r="N126" s="4">
        <f>IF($K126,INDEX(SuperheatedSI!E:E,$J126),"-")</f>
        <v>2965.6</v>
      </c>
      <c r="O126" s="4">
        <f>IF($K126,INDEX(SuperheatedSI!F:F,$J126),"-")</f>
        <v>3275</v>
      </c>
      <c r="P126" s="39">
        <f>IF($K126,INDEX(SuperheatedSI!G:G,$J126),"-")</f>
        <v>8.0329999999999995</v>
      </c>
    </row>
    <row r="127" spans="1:16" x14ac:dyDescent="0.2">
      <c r="A127" s="45">
        <v>9</v>
      </c>
      <c r="B127" s="36">
        <f t="shared" si="27"/>
        <v>59</v>
      </c>
      <c r="C127" s="36" t="b">
        <f t="shared" si="25"/>
        <v>1</v>
      </c>
      <c r="D127" s="4">
        <f>IF($C127,INDEX(SuperheatedSI!C:C,$B127),"-")</f>
        <v>400</v>
      </c>
      <c r="E127" s="41">
        <f>IF($C127,INDEX(SuperheatedSI!D:D,$B127),"-")</f>
        <v>2.0670000000000002</v>
      </c>
      <c r="F127" s="4">
        <f>IF($C127,INDEX(SuperheatedSI!E:E,$B127),"-")</f>
        <v>2967.3</v>
      </c>
      <c r="G127" s="4">
        <f>IF($C127,INDEX(SuperheatedSI!F:F,$B127),"-")</f>
        <v>3277.4</v>
      </c>
      <c r="H127" s="39">
        <f>IF($C127,INDEX(SuperheatedSI!G:G,$B127),"-")</f>
        <v>8.3554999999999993</v>
      </c>
      <c r="I127" s="26"/>
      <c r="J127" s="36">
        <f t="shared" si="28"/>
        <v>71</v>
      </c>
      <c r="K127" s="36" t="b">
        <f t="shared" si="26"/>
        <v>1</v>
      </c>
      <c r="L127" s="4">
        <f>IF($K127,INDEX(SuperheatedSI!C:C,$J127),"-")</f>
        <v>440</v>
      </c>
      <c r="M127" s="41">
        <f>IF($K127,INDEX(SuperheatedSI!D:D,$J127),"-")</f>
        <v>1.0940000000000001</v>
      </c>
      <c r="N127" s="4">
        <f>IF($K127,INDEX(SuperheatedSI!E:E,$J127),"-")</f>
        <v>3030.6</v>
      </c>
      <c r="O127" s="4">
        <f>IF($K127,INDEX(SuperheatedSI!F:F,$J127),"-")</f>
        <v>3358.7</v>
      </c>
      <c r="P127" s="39">
        <f>IF($K127,INDEX(SuperheatedSI!G:G,$J127),"-")</f>
        <v>8.1538000000000004</v>
      </c>
    </row>
    <row r="128" spans="1:16" x14ac:dyDescent="0.2">
      <c r="A128" s="45">
        <v>10</v>
      </c>
      <c r="B128" s="36">
        <f t="shared" si="27"/>
        <v>60</v>
      </c>
      <c r="C128" s="36" t="b">
        <f t="shared" si="25"/>
        <v>1</v>
      </c>
      <c r="D128" s="4">
        <f>IF($C128,INDEX(SuperheatedSI!C:C,$B128),"-")</f>
        <v>440</v>
      </c>
      <c r="E128" s="41">
        <f>IF($C128,INDEX(SuperheatedSI!D:D,$B128),"-")</f>
        <v>2.1909999999999998</v>
      </c>
      <c r="F128" s="4">
        <f>IF($C128,INDEX(SuperheatedSI!E:E,$B128),"-")</f>
        <v>3032.1</v>
      </c>
      <c r="G128" s="4">
        <f>IF($C128,INDEX(SuperheatedSI!F:F,$B128),"-")</f>
        <v>3360.7</v>
      </c>
      <c r="H128" s="39">
        <f>IF($C128,INDEX(SuperheatedSI!G:G,$B128),"-")</f>
        <v>8.4756999999999998</v>
      </c>
      <c r="I128" s="26"/>
      <c r="J128" s="36">
        <f t="shared" si="28"/>
        <v>72</v>
      </c>
      <c r="K128" s="36" t="b">
        <f t="shared" si="26"/>
        <v>1</v>
      </c>
      <c r="L128" s="4">
        <f>IF($K128,INDEX(SuperheatedSI!C:C,$J128),"-")</f>
        <v>500</v>
      </c>
      <c r="M128" s="41">
        <f>IF($K128,INDEX(SuperheatedSI!D:D,$J128),"-")</f>
        <v>1.1870000000000001</v>
      </c>
      <c r="N128" s="4">
        <f>IF($K128,INDEX(SuperheatedSI!E:E,$J128),"-")</f>
        <v>3130</v>
      </c>
      <c r="O128" s="4">
        <f>IF($K128,INDEX(SuperheatedSI!F:F,$J128),"-")</f>
        <v>3486</v>
      </c>
      <c r="P128" s="39">
        <f>IF($K128,INDEX(SuperheatedSI!G:G,$J128),"-")</f>
        <v>8.3251000000000008</v>
      </c>
    </row>
    <row r="129" spans="1:16" x14ac:dyDescent="0.2">
      <c r="A129" s="45">
        <v>11</v>
      </c>
      <c r="B129" s="36">
        <f t="shared" si="27"/>
        <v>61</v>
      </c>
      <c r="C129" s="36" t="b">
        <f t="shared" si="25"/>
        <v>1</v>
      </c>
      <c r="D129" s="4">
        <f>IF($C129,INDEX(SuperheatedSI!C:C,$B129),"-")</f>
        <v>500</v>
      </c>
      <c r="E129" s="41">
        <f>IF($C129,INDEX(SuperheatedSI!D:D,$B129),"-")</f>
        <v>2.3759999999999999</v>
      </c>
      <c r="F129" s="4">
        <f>IF($C129,INDEX(SuperheatedSI!E:E,$B129),"-")</f>
        <v>3131.2</v>
      </c>
      <c r="G129" s="4">
        <f>IF($C129,INDEX(SuperheatedSI!F:F,$B129),"-")</f>
        <v>3487.6</v>
      </c>
      <c r="H129" s="39">
        <f>IF($C129,INDEX(SuperheatedSI!G:G,$B129),"-")</f>
        <v>8.6465999999999994</v>
      </c>
      <c r="I129" s="26"/>
      <c r="J129" s="36">
        <f t="shared" si="28"/>
        <v>73</v>
      </c>
      <c r="K129" s="36" t="b">
        <f t="shared" si="26"/>
        <v>1</v>
      </c>
      <c r="L129" s="4">
        <f>IF($K129,INDEX(SuperheatedSI!C:C,$J129),"-")</f>
        <v>600</v>
      </c>
      <c r="M129" s="41">
        <f>IF($K129,INDEX(SuperheatedSI!D:D,$J129),"-")</f>
        <v>1.341</v>
      </c>
      <c r="N129" s="4">
        <f>IF($K129,INDEX(SuperheatedSI!E:E,$J129),"-")</f>
        <v>3300.8</v>
      </c>
      <c r="O129" s="4">
        <f>IF($K129,INDEX(SuperheatedSI!F:F,$J129),"-")</f>
        <v>3703.2</v>
      </c>
      <c r="P129" s="39">
        <f>IF($K129,INDEX(SuperheatedSI!G:G,$J129),"-")</f>
        <v>8.5891999999999999</v>
      </c>
    </row>
    <row r="130" spans="1:16" x14ac:dyDescent="0.2">
      <c r="A130" s="45">
        <v>12</v>
      </c>
      <c r="B130" s="36">
        <f t="shared" si="27"/>
        <v>62</v>
      </c>
      <c r="C130" s="36" t="b">
        <f t="shared" si="25"/>
        <v>1</v>
      </c>
      <c r="D130" s="4">
        <f>IF($C130,INDEX(SuperheatedSI!C:C,$B130),"-")</f>
        <v>600</v>
      </c>
      <c r="E130" s="41">
        <f>IF($C130,INDEX(SuperheatedSI!D:D,$B130),"-")</f>
        <v>2.6850000000000001</v>
      </c>
      <c r="F130" s="4">
        <f>IF($C130,INDEX(SuperheatedSI!E:E,$B130),"-")</f>
        <v>3301.7</v>
      </c>
      <c r="G130" s="4">
        <f>IF($C130,INDEX(SuperheatedSI!F:F,$B130),"-")</f>
        <v>3704.3</v>
      </c>
      <c r="H130" s="39">
        <f>IF($C130,INDEX(SuperheatedSI!G:G,$B130),"-")</f>
        <v>8.9100999999999999</v>
      </c>
      <c r="I130" s="26"/>
      <c r="J130" s="36" t="str">
        <f t="shared" si="28"/>
        <v>-</v>
      </c>
      <c r="K130" s="36" t="b">
        <f t="shared" si="26"/>
        <v>0</v>
      </c>
      <c r="L130" s="4" t="str">
        <f>IF($K130,INDEX(SuperheatedSI!C:C,$J130),"-")</f>
        <v>-</v>
      </c>
      <c r="M130" s="41" t="str">
        <f>IF($K130,INDEX(SuperheatedSI!D:D,$J130),"-")</f>
        <v>-</v>
      </c>
      <c r="N130" s="4" t="str">
        <f>IF($K130,INDEX(SuperheatedSI!E:E,$J130),"-")</f>
        <v>-</v>
      </c>
      <c r="O130" s="4" t="str">
        <f>IF($K130,INDEX(SuperheatedSI!F:F,$J130),"-")</f>
        <v>-</v>
      </c>
      <c r="P130" s="39" t="str">
        <f>IF($K130,INDEX(SuperheatedSI!G:G,$J130),"-")</f>
        <v>-</v>
      </c>
    </row>
    <row r="131" spans="1:16" x14ac:dyDescent="0.2">
      <c r="A131" s="45">
        <v>13</v>
      </c>
      <c r="B131" s="36" t="str">
        <f t="shared" si="27"/>
        <v>-</v>
      </c>
      <c r="C131" s="36" t="b">
        <f t="shared" si="25"/>
        <v>0</v>
      </c>
      <c r="D131" s="4" t="str">
        <f>IF($C131,INDEX(SuperheatedSI!C:C,$B131),"-")</f>
        <v>-</v>
      </c>
      <c r="E131" s="41" t="str">
        <f>IF($C131,INDEX(SuperheatedSI!D:D,$B131),"-")</f>
        <v>-</v>
      </c>
      <c r="F131" s="4" t="str">
        <f>IF($C131,INDEX(SuperheatedSI!E:E,$B131),"-")</f>
        <v>-</v>
      </c>
      <c r="G131" s="4" t="str">
        <f>IF($C131,INDEX(SuperheatedSI!F:F,$B131),"-")</f>
        <v>-</v>
      </c>
      <c r="H131" s="39" t="str">
        <f>IF($C131,INDEX(SuperheatedSI!G:G,$B131),"-")</f>
        <v>-</v>
      </c>
      <c r="I131" s="26"/>
      <c r="J131" s="36" t="str">
        <f t="shared" si="28"/>
        <v>-</v>
      </c>
      <c r="K131" s="36" t="b">
        <f t="shared" si="26"/>
        <v>0</v>
      </c>
      <c r="L131" s="4" t="str">
        <f>IF($K131,INDEX(SuperheatedSI!C:C,$J131),"-")</f>
        <v>-</v>
      </c>
      <c r="M131" s="41" t="str">
        <f>IF($K131,INDEX(SuperheatedSI!D:D,$J131),"-")</f>
        <v>-</v>
      </c>
      <c r="N131" s="4" t="str">
        <f>IF($K131,INDEX(SuperheatedSI!E:E,$J131),"-")</f>
        <v>-</v>
      </c>
      <c r="O131" s="4" t="str">
        <f>IF($K131,INDEX(SuperheatedSI!F:F,$J131),"-")</f>
        <v>-</v>
      </c>
      <c r="P131" s="39" t="str">
        <f>IF($K131,INDEX(SuperheatedSI!G:G,$J131),"-")</f>
        <v>-</v>
      </c>
    </row>
    <row r="132" spans="1:16" x14ac:dyDescent="0.2">
      <c r="A132" s="45">
        <v>14</v>
      </c>
      <c r="B132" s="36" t="str">
        <f t="shared" si="27"/>
        <v>-</v>
      </c>
      <c r="C132" s="36" t="b">
        <f t="shared" si="25"/>
        <v>0</v>
      </c>
      <c r="D132" s="4" t="str">
        <f>IF($C132,INDEX(SuperheatedSI!C:C,$B132),"-")</f>
        <v>-</v>
      </c>
      <c r="E132" s="41" t="str">
        <f>IF($C132,INDEX(SuperheatedSI!D:D,$B132),"-")</f>
        <v>-</v>
      </c>
      <c r="F132" s="4" t="str">
        <f>IF($C132,INDEX(SuperheatedSI!E:E,$B132),"-")</f>
        <v>-</v>
      </c>
      <c r="G132" s="4" t="str">
        <f>IF($C132,INDEX(SuperheatedSI!F:F,$B132),"-")</f>
        <v>-</v>
      </c>
      <c r="H132" s="39" t="str">
        <f>IF($C132,INDEX(SuperheatedSI!G:G,$B132),"-")</f>
        <v>-</v>
      </c>
      <c r="I132" s="26"/>
      <c r="J132" s="36" t="str">
        <f t="shared" si="28"/>
        <v>-</v>
      </c>
      <c r="K132" s="36" t="b">
        <f t="shared" si="26"/>
        <v>0</v>
      </c>
      <c r="L132" s="4" t="str">
        <f>IF($K132,INDEX(SuperheatedSI!C:C,$J132),"-")</f>
        <v>-</v>
      </c>
      <c r="M132" s="41" t="str">
        <f>IF($K132,INDEX(SuperheatedSI!D:D,$J132),"-")</f>
        <v>-</v>
      </c>
      <c r="N132" s="4" t="str">
        <f>IF($K132,INDEX(SuperheatedSI!E:E,$J132),"-")</f>
        <v>-</v>
      </c>
      <c r="O132" s="4" t="str">
        <f>IF($K132,INDEX(SuperheatedSI!F:F,$J132),"-")</f>
        <v>-</v>
      </c>
      <c r="P132" s="39" t="str">
        <f>IF($K132,INDEX(SuperheatedSI!G:G,$J132),"-")</f>
        <v>-</v>
      </c>
    </row>
    <row r="133" spans="1:16" x14ac:dyDescent="0.2">
      <c r="A133" s="45">
        <v>15</v>
      </c>
      <c r="B133" s="36" t="str">
        <f t="shared" si="27"/>
        <v>-</v>
      </c>
      <c r="C133" s="36" t="b">
        <f t="shared" si="25"/>
        <v>0</v>
      </c>
      <c r="D133" s="4" t="str">
        <f>IF($C133,INDEX(SuperheatedSI!C:C,$B133),"-")</f>
        <v>-</v>
      </c>
      <c r="E133" s="41" t="str">
        <f>IF($C133,INDEX(SuperheatedSI!D:D,$B133),"-")</f>
        <v>-</v>
      </c>
      <c r="F133" s="4" t="str">
        <f>IF($C133,INDEX(SuperheatedSI!E:E,$B133),"-")</f>
        <v>-</v>
      </c>
      <c r="G133" s="4" t="str">
        <f>IF($C133,INDEX(SuperheatedSI!F:F,$B133),"-")</f>
        <v>-</v>
      </c>
      <c r="H133" s="39" t="str">
        <f>IF($C133,INDEX(SuperheatedSI!G:G,$B133),"-")</f>
        <v>-</v>
      </c>
      <c r="I133" s="26"/>
      <c r="J133" s="36" t="str">
        <f t="shared" si="28"/>
        <v>-</v>
      </c>
      <c r="K133" s="36" t="b">
        <f t="shared" si="26"/>
        <v>0</v>
      </c>
      <c r="L133" s="4" t="str">
        <f>IF($K133,INDEX(SuperheatedSI!C:C,$J133),"-")</f>
        <v>-</v>
      </c>
      <c r="M133" s="41" t="str">
        <f>IF($K133,INDEX(SuperheatedSI!D:D,$J133),"-")</f>
        <v>-</v>
      </c>
      <c r="N133" s="4" t="str">
        <f>IF($K133,INDEX(SuperheatedSI!E:E,$J133),"-")</f>
        <v>-</v>
      </c>
      <c r="O133" s="4" t="str">
        <f>IF($K133,INDEX(SuperheatedSI!F:F,$J133),"-")</f>
        <v>-</v>
      </c>
      <c r="P133" s="39" t="str">
        <f>IF($K133,INDEX(SuperheatedSI!G:G,$J133),"-")</f>
        <v>-</v>
      </c>
    </row>
    <row r="134" spans="1:16" x14ac:dyDescent="0.2">
      <c r="A134" s="45">
        <v>16</v>
      </c>
      <c r="B134" s="36" t="str">
        <f t="shared" si="27"/>
        <v>-</v>
      </c>
      <c r="C134" s="36" t="b">
        <f t="shared" si="25"/>
        <v>0</v>
      </c>
      <c r="D134" s="4" t="str">
        <f>IF($C134,INDEX(SuperheatedSI!C:C,$B134),"-")</f>
        <v>-</v>
      </c>
      <c r="E134" s="41" t="str">
        <f>IF($C134,INDEX(SuperheatedSI!D:D,$B134),"-")</f>
        <v>-</v>
      </c>
      <c r="F134" s="4" t="str">
        <f>IF($C134,INDEX(SuperheatedSI!E:E,$B134),"-")</f>
        <v>-</v>
      </c>
      <c r="G134" s="4" t="str">
        <f>IF($C134,INDEX(SuperheatedSI!F:F,$B134),"-")</f>
        <v>-</v>
      </c>
      <c r="H134" s="39" t="str">
        <f>IF($C134,INDEX(SuperheatedSI!G:G,$B134),"-")</f>
        <v>-</v>
      </c>
      <c r="I134" s="26"/>
      <c r="J134" s="36" t="str">
        <f t="shared" si="28"/>
        <v>-</v>
      </c>
      <c r="K134" s="36" t="b">
        <f t="shared" si="26"/>
        <v>0</v>
      </c>
      <c r="L134" s="4" t="str">
        <f>IF($K134,INDEX(SuperheatedSI!C:C,$J134),"-")</f>
        <v>-</v>
      </c>
      <c r="M134" s="41" t="str">
        <f>IF($K134,INDEX(SuperheatedSI!D:D,$J134),"-")</f>
        <v>-</v>
      </c>
      <c r="N134" s="4" t="str">
        <f>IF($K134,INDEX(SuperheatedSI!E:E,$J134),"-")</f>
        <v>-</v>
      </c>
      <c r="O134" s="4" t="str">
        <f>IF($K134,INDEX(SuperheatedSI!F:F,$J134),"-")</f>
        <v>-</v>
      </c>
      <c r="P134" s="39" t="str">
        <f>IF($K134,INDEX(SuperheatedSI!G:G,$J134),"-")</f>
        <v>-</v>
      </c>
    </row>
    <row r="135" spans="1:16" x14ac:dyDescent="0.2">
      <c r="A135" s="45">
        <v>17</v>
      </c>
      <c r="B135" s="36" t="str">
        <f t="shared" si="27"/>
        <v>-</v>
      </c>
      <c r="C135" s="36" t="b">
        <f t="shared" si="25"/>
        <v>0</v>
      </c>
      <c r="D135" s="4" t="str">
        <f>IF($C135,INDEX(SuperheatedSI!C:C,$B135),"-")</f>
        <v>-</v>
      </c>
      <c r="E135" s="41" t="str">
        <f>IF($C135,INDEX(SuperheatedSI!D:D,$B135),"-")</f>
        <v>-</v>
      </c>
      <c r="F135" s="4" t="str">
        <f>IF($C135,INDEX(SuperheatedSI!E:E,$B135),"-")</f>
        <v>-</v>
      </c>
      <c r="G135" s="4" t="str">
        <f>IF($C135,INDEX(SuperheatedSI!F:F,$B135),"-")</f>
        <v>-</v>
      </c>
      <c r="H135" s="39" t="str">
        <f>IF($C135,INDEX(SuperheatedSI!G:G,$B135),"-")</f>
        <v>-</v>
      </c>
      <c r="I135" s="26"/>
      <c r="J135" s="36" t="str">
        <f t="shared" si="28"/>
        <v>-</v>
      </c>
      <c r="K135" s="36" t="b">
        <f t="shared" si="26"/>
        <v>0</v>
      </c>
      <c r="L135" s="4" t="str">
        <f>IF($K135,INDEX(SuperheatedSI!C:C,$J135),"-")</f>
        <v>-</v>
      </c>
      <c r="M135" s="41" t="str">
        <f>IF($K135,INDEX(SuperheatedSI!D:D,$J135),"-")</f>
        <v>-</v>
      </c>
      <c r="N135" s="4" t="str">
        <f>IF($K135,INDEX(SuperheatedSI!E:E,$J135),"-")</f>
        <v>-</v>
      </c>
      <c r="O135" s="4" t="str">
        <f>IF($K135,INDEX(SuperheatedSI!F:F,$J135),"-")</f>
        <v>-</v>
      </c>
      <c r="P135" s="39" t="str">
        <f>IF($K135,INDEX(SuperheatedSI!G:G,$J135),"-")</f>
        <v>-</v>
      </c>
    </row>
    <row r="136" spans="1:16" x14ac:dyDescent="0.2">
      <c r="A136" s="45">
        <v>18</v>
      </c>
      <c r="B136" s="36" t="str">
        <f t="shared" si="27"/>
        <v>-</v>
      </c>
      <c r="C136" s="36" t="b">
        <f t="shared" si="25"/>
        <v>0</v>
      </c>
      <c r="D136" s="4" t="str">
        <f>IF($C136,INDEX(SuperheatedSI!C:C,$B136),"-")</f>
        <v>-</v>
      </c>
      <c r="E136" s="41" t="str">
        <f>IF($C136,INDEX(SuperheatedSI!D:D,$B136),"-")</f>
        <v>-</v>
      </c>
      <c r="F136" s="4" t="str">
        <f>IF($C136,INDEX(SuperheatedSI!E:E,$B136),"-")</f>
        <v>-</v>
      </c>
      <c r="G136" s="4" t="str">
        <f>IF($C136,INDEX(SuperheatedSI!F:F,$B136),"-")</f>
        <v>-</v>
      </c>
      <c r="H136" s="39" t="str">
        <f>IF($C136,INDEX(SuperheatedSI!G:G,$B136),"-")</f>
        <v>-</v>
      </c>
      <c r="I136" s="26"/>
      <c r="J136" s="36" t="str">
        <f t="shared" si="28"/>
        <v>-</v>
      </c>
      <c r="K136" s="36" t="b">
        <f t="shared" si="26"/>
        <v>0</v>
      </c>
      <c r="L136" s="4" t="str">
        <f>IF($K136,INDEX(SuperheatedSI!C:C,$J136),"-")</f>
        <v>-</v>
      </c>
      <c r="M136" s="41" t="str">
        <f>IF($K136,INDEX(SuperheatedSI!D:D,$J136),"-")</f>
        <v>-</v>
      </c>
      <c r="N136" s="4" t="str">
        <f>IF($K136,INDEX(SuperheatedSI!E:E,$J136),"-")</f>
        <v>-</v>
      </c>
      <c r="O136" s="4" t="str">
        <f>IF($K136,INDEX(SuperheatedSI!F:F,$J136),"-")</f>
        <v>-</v>
      </c>
      <c r="P136" s="39" t="str">
        <f>IF($K136,INDEX(SuperheatedSI!G:G,$J136),"-")</f>
        <v>-</v>
      </c>
    </row>
    <row r="137" spans="1:16" x14ac:dyDescent="0.2">
      <c r="A137" s="45">
        <v>19</v>
      </c>
      <c r="B137" s="36" t="str">
        <f t="shared" si="27"/>
        <v>-</v>
      </c>
      <c r="C137" s="36" t="b">
        <f t="shared" si="25"/>
        <v>0</v>
      </c>
      <c r="D137" s="4" t="str">
        <f>IF($C137,INDEX(SuperheatedSI!C:C,$B137),"-")</f>
        <v>-</v>
      </c>
      <c r="E137" s="41" t="str">
        <f>IF($C137,INDEX(SuperheatedSI!D:D,$B137),"-")</f>
        <v>-</v>
      </c>
      <c r="F137" s="4" t="str">
        <f>IF($C137,INDEX(SuperheatedSI!E:E,$B137),"-")</f>
        <v>-</v>
      </c>
      <c r="G137" s="4" t="str">
        <f>IF($C137,INDEX(SuperheatedSI!F:F,$B137),"-")</f>
        <v>-</v>
      </c>
      <c r="H137" s="39" t="str">
        <f>IF($C137,INDEX(SuperheatedSI!G:G,$B137),"-")</f>
        <v>-</v>
      </c>
      <c r="I137" s="26"/>
      <c r="J137" s="36" t="str">
        <f t="shared" si="28"/>
        <v>-</v>
      </c>
      <c r="K137" s="36" t="b">
        <f t="shared" si="26"/>
        <v>0</v>
      </c>
      <c r="L137" s="4" t="str">
        <f>IF($K137,INDEX(SuperheatedSI!C:C,$J137),"-")</f>
        <v>-</v>
      </c>
      <c r="M137" s="41" t="str">
        <f>IF($K137,INDEX(SuperheatedSI!D:D,$J137),"-")</f>
        <v>-</v>
      </c>
      <c r="N137" s="4" t="str">
        <f>IF($K137,INDEX(SuperheatedSI!E:E,$J137),"-")</f>
        <v>-</v>
      </c>
      <c r="O137" s="4" t="str">
        <f>IF($K137,INDEX(SuperheatedSI!F:F,$J137),"-")</f>
        <v>-</v>
      </c>
      <c r="P137" s="39" t="str">
        <f>IF($K137,INDEX(SuperheatedSI!G:G,$J137),"-")</f>
        <v>-</v>
      </c>
    </row>
    <row r="138" spans="1:16" x14ac:dyDescent="0.2">
      <c r="A138" s="45">
        <v>20</v>
      </c>
      <c r="B138" s="36" t="str">
        <f t="shared" si="27"/>
        <v>-</v>
      </c>
      <c r="C138" s="36" t="b">
        <f t="shared" si="25"/>
        <v>0</v>
      </c>
      <c r="D138" s="4" t="str">
        <f>IF($C138,INDEX(SuperheatedSI!C:C,$B138),"-")</f>
        <v>-</v>
      </c>
      <c r="E138" s="41" t="str">
        <f>IF($C138,INDEX(SuperheatedSI!D:D,$B138),"-")</f>
        <v>-</v>
      </c>
      <c r="F138" s="4" t="str">
        <f>IF($C138,INDEX(SuperheatedSI!E:E,$B138),"-")</f>
        <v>-</v>
      </c>
      <c r="G138" s="4" t="str">
        <f>IF($C138,INDEX(SuperheatedSI!F:F,$B138),"-")</f>
        <v>-</v>
      </c>
      <c r="H138" s="39" t="str">
        <f>IF($C138,INDEX(SuperheatedSI!G:G,$B138),"-")</f>
        <v>-</v>
      </c>
      <c r="I138" s="26"/>
      <c r="J138" s="36" t="str">
        <f t="shared" si="28"/>
        <v>-</v>
      </c>
      <c r="K138" s="36" t="b">
        <f t="shared" si="26"/>
        <v>0</v>
      </c>
      <c r="L138" s="4" t="str">
        <f>IF($K138,INDEX(SuperheatedSI!C:C,$J138),"-")</f>
        <v>-</v>
      </c>
      <c r="M138" s="41" t="str">
        <f>IF($K138,INDEX(SuperheatedSI!D:D,$J138),"-")</f>
        <v>-</v>
      </c>
      <c r="N138" s="4" t="str">
        <f>IF($K138,INDEX(SuperheatedSI!E:E,$J138),"-")</f>
        <v>-</v>
      </c>
      <c r="O138" s="4" t="str">
        <f>IF($K138,INDEX(SuperheatedSI!F:F,$J138),"-")</f>
        <v>-</v>
      </c>
      <c r="P138" s="39" t="str">
        <f>IF($K138,INDEX(SuperheatedSI!G:G,$J138),"-")</f>
        <v>-</v>
      </c>
    </row>
    <row r="139" spans="1:16" x14ac:dyDescent="0.2">
      <c r="A139" s="82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34"/>
    </row>
    <row r="140" spans="1:16" x14ac:dyDescent="0.2">
      <c r="A140" s="79">
        <f>A107</f>
        <v>3100</v>
      </c>
      <c r="B140" s="26" t="s">
        <v>131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34"/>
    </row>
    <row r="141" spans="1:16" x14ac:dyDescent="0.2">
      <c r="A141" s="82"/>
      <c r="B141" s="26"/>
      <c r="C141" s="84" t="s">
        <v>97</v>
      </c>
      <c r="D141" s="26"/>
      <c r="E141" s="26"/>
      <c r="F141" s="26"/>
      <c r="G141" s="36">
        <f t="shared" ref="G141" si="29">MATCH($A140,G119:G138)</f>
        <v>6</v>
      </c>
      <c r="H141" s="26"/>
      <c r="I141" s="26"/>
      <c r="J141" s="26"/>
      <c r="K141" s="84" t="s">
        <v>97</v>
      </c>
      <c r="L141" s="26"/>
      <c r="M141" s="26"/>
      <c r="N141" s="26"/>
      <c r="O141" s="36">
        <f t="shared" ref="O141" si="30">MATCH($A140,O119:O138)</f>
        <v>5</v>
      </c>
      <c r="P141" s="34"/>
    </row>
    <row r="142" spans="1:16" x14ac:dyDescent="0.2">
      <c r="A142" s="82"/>
      <c r="B142" s="26"/>
      <c r="C142" s="84" t="s">
        <v>98</v>
      </c>
      <c r="D142" s="39">
        <f t="shared" ref="D142:G142" si="31">INDEX(D119:D138,$G$141)</f>
        <v>280</v>
      </c>
      <c r="E142" s="39">
        <f t="shared" si="31"/>
        <v>1.6950000000000001</v>
      </c>
      <c r="F142" s="39">
        <f t="shared" si="31"/>
        <v>2778.6</v>
      </c>
      <c r="G142" s="39">
        <f t="shared" si="31"/>
        <v>3032.8</v>
      </c>
      <c r="H142" s="39">
        <f>INDEX(H119:H138,$G$141)</f>
        <v>7.9554999999999998</v>
      </c>
      <c r="I142" s="26"/>
      <c r="J142" s="26"/>
      <c r="K142" s="84" t="s">
        <v>98</v>
      </c>
      <c r="L142" s="39">
        <f t="shared" ref="L142:O142" si="32">INDEX(L119:L138,$O$141)</f>
        <v>280</v>
      </c>
      <c r="M142" s="39">
        <f t="shared" si="32"/>
        <v>0.84399999999999997</v>
      </c>
      <c r="N142" s="87">
        <f t="shared" si="32"/>
        <v>2775.4</v>
      </c>
      <c r="O142" s="39">
        <f t="shared" si="32"/>
        <v>3028.6</v>
      </c>
      <c r="P142" s="88">
        <f>INDEX(P119:P138,$O$141)</f>
        <v>7.6299000000000001</v>
      </c>
    </row>
    <row r="143" spans="1:16" x14ac:dyDescent="0.2">
      <c r="A143" s="82"/>
      <c r="B143" s="26"/>
      <c r="C143" s="84" t="s">
        <v>109</v>
      </c>
      <c r="D143" s="26"/>
      <c r="E143" s="26"/>
      <c r="F143" s="26"/>
      <c r="G143" s="89">
        <f>$A140</f>
        <v>3100</v>
      </c>
      <c r="H143" s="90"/>
      <c r="I143" s="26"/>
      <c r="J143" s="26"/>
      <c r="K143" s="84" t="s">
        <v>109</v>
      </c>
      <c r="L143" s="26"/>
      <c r="M143" s="26"/>
      <c r="N143" s="26"/>
      <c r="O143" s="39">
        <f>$A140</f>
        <v>3100</v>
      </c>
      <c r="P143" s="29"/>
    </row>
    <row r="144" spans="1:16" x14ac:dyDescent="0.2">
      <c r="A144" s="82"/>
      <c r="B144" s="26"/>
      <c r="C144" s="84" t="s">
        <v>100</v>
      </c>
      <c r="D144" s="39">
        <f t="shared" ref="D144:G144" si="33">INDEX(D119:D138,$G$141+1)</f>
        <v>320</v>
      </c>
      <c r="E144" s="39">
        <f t="shared" si="33"/>
        <v>1.819</v>
      </c>
      <c r="F144" s="39">
        <f t="shared" si="33"/>
        <v>2840.6</v>
      </c>
      <c r="G144" s="39">
        <f t="shared" si="33"/>
        <v>3113.5</v>
      </c>
      <c r="H144" s="39">
        <f>INDEX(H119:H138,$G$141+1)</f>
        <v>8.0963999999999992</v>
      </c>
      <c r="I144" s="26"/>
      <c r="J144" s="26"/>
      <c r="K144" s="84" t="s">
        <v>100</v>
      </c>
      <c r="L144" s="39">
        <f t="shared" ref="L144:O144" si="34">INDEX(L119:L138,$O$141+1)</f>
        <v>320</v>
      </c>
      <c r="M144" s="39">
        <f t="shared" si="34"/>
        <v>0.90700000000000003</v>
      </c>
      <c r="N144" s="87">
        <f t="shared" si="34"/>
        <v>2838.1</v>
      </c>
      <c r="O144" s="39">
        <f t="shared" si="34"/>
        <v>3110.1</v>
      </c>
      <c r="P144" s="88">
        <f>INDEX(P119:P138,$O$141+1)</f>
        <v>7.7721999999999998</v>
      </c>
    </row>
    <row r="145" spans="1:16" x14ac:dyDescent="0.2">
      <c r="A145" s="82"/>
      <c r="B145" s="26"/>
      <c r="C145" s="84" t="s">
        <v>101</v>
      </c>
      <c r="D145" s="26"/>
      <c r="E145" s="26"/>
      <c r="F145" s="26"/>
      <c r="G145" s="91">
        <f>(G143-G142)/(G144-G142)</f>
        <v>0.83271375464683972</v>
      </c>
      <c r="H145" s="27"/>
      <c r="I145" s="26"/>
      <c r="J145" s="26"/>
      <c r="K145" s="84" t="s">
        <v>101</v>
      </c>
      <c r="L145" s="26"/>
      <c r="M145" s="26"/>
      <c r="N145" s="26"/>
      <c r="O145" s="37">
        <f>(O143-O142)/(O144-O142)</f>
        <v>0.876073619631903</v>
      </c>
      <c r="P145" s="92"/>
    </row>
    <row r="146" spans="1:16" x14ac:dyDescent="0.2">
      <c r="A146" s="82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34"/>
    </row>
    <row r="147" spans="1:16" x14ac:dyDescent="0.2">
      <c r="A147" s="82"/>
      <c r="B147" s="26"/>
      <c r="C147" s="26"/>
      <c r="D147" s="46" t="s">
        <v>116</v>
      </c>
      <c r="E147" s="50"/>
      <c r="F147" s="50"/>
      <c r="G147" s="50"/>
      <c r="H147" s="51"/>
      <c r="I147" s="26"/>
      <c r="J147" s="26"/>
      <c r="K147" s="26"/>
      <c r="L147" s="46" t="s">
        <v>117</v>
      </c>
      <c r="M147" s="50"/>
      <c r="N147" s="50"/>
      <c r="O147" s="50"/>
      <c r="P147" s="51"/>
    </row>
    <row r="148" spans="1:16" x14ac:dyDescent="0.2">
      <c r="A148" s="82"/>
      <c r="B148" s="26"/>
      <c r="C148" s="26"/>
      <c r="D148" s="45" t="s">
        <v>129</v>
      </c>
      <c r="E148" s="75" t="s">
        <v>31</v>
      </c>
      <c r="F148" s="76" t="s">
        <v>29</v>
      </c>
      <c r="G148" s="76" t="s">
        <v>30</v>
      </c>
      <c r="H148" s="77" t="s">
        <v>32</v>
      </c>
      <c r="I148" s="26"/>
      <c r="J148" s="26"/>
      <c r="K148" s="26"/>
      <c r="L148" s="45" t="s">
        <v>129</v>
      </c>
      <c r="M148" s="75" t="s">
        <v>31</v>
      </c>
      <c r="N148" s="76" t="s">
        <v>29</v>
      </c>
      <c r="O148" s="76" t="s">
        <v>30</v>
      </c>
      <c r="P148" s="77" t="s">
        <v>32</v>
      </c>
    </row>
    <row r="149" spans="1:16" x14ac:dyDescent="0.2">
      <c r="A149" s="82"/>
      <c r="B149" s="26"/>
      <c r="C149" s="26"/>
      <c r="D149" s="4">
        <f>D142+$G$145*(D144-D142)</f>
        <v>313.30855018587357</v>
      </c>
      <c r="E149" s="41">
        <f t="shared" ref="E149:H149" si="35">E142+$G$145*(E144-E142)</f>
        <v>1.7982565055762081</v>
      </c>
      <c r="F149" s="4">
        <f t="shared" si="35"/>
        <v>2830.2282527881039</v>
      </c>
      <c r="G149" s="4">
        <f t="shared" si="35"/>
        <v>3100</v>
      </c>
      <c r="H149" s="39">
        <f t="shared" si="35"/>
        <v>8.0728293680297387</v>
      </c>
      <c r="I149" s="26"/>
      <c r="J149" s="26"/>
      <c r="K149" s="26"/>
      <c r="L149" s="4">
        <f>L142+$O$145*(L144-L142)</f>
        <v>315.04294478527612</v>
      </c>
      <c r="M149" s="41">
        <f t="shared" ref="M149:P149" si="36">M142+$O$145*(M144-M142)</f>
        <v>0.89919263803680993</v>
      </c>
      <c r="N149" s="4">
        <f t="shared" si="36"/>
        <v>2830.3298159509204</v>
      </c>
      <c r="O149" s="4">
        <f t="shared" si="36"/>
        <v>3100</v>
      </c>
      <c r="P149" s="39">
        <f t="shared" si="36"/>
        <v>7.7545652760736195</v>
      </c>
    </row>
    <row r="150" spans="1:16" x14ac:dyDescent="0.2">
      <c r="A150" s="82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34"/>
    </row>
    <row r="151" spans="1:16" x14ac:dyDescent="0.2">
      <c r="A151" s="83">
        <f>A110</f>
        <v>150</v>
      </c>
      <c r="B151" s="26" t="s">
        <v>92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34"/>
    </row>
    <row r="152" spans="1:16" x14ac:dyDescent="0.2">
      <c r="A152" s="83">
        <f>A106</f>
        <v>201</v>
      </c>
      <c r="B152" s="26" t="s">
        <v>104</v>
      </c>
      <c r="C152" s="26"/>
      <c r="D152" s="46" t="s">
        <v>118</v>
      </c>
      <c r="E152" s="50"/>
      <c r="F152" s="50"/>
      <c r="G152" s="50"/>
      <c r="H152" s="51"/>
      <c r="I152" s="26"/>
      <c r="J152" s="26"/>
      <c r="K152" s="26"/>
      <c r="L152" s="26"/>
      <c r="M152" s="26"/>
      <c r="N152" s="26"/>
      <c r="O152" s="26"/>
      <c r="P152" s="34"/>
    </row>
    <row r="153" spans="1:16" x14ac:dyDescent="0.2">
      <c r="A153" s="83">
        <f>A113</f>
        <v>300</v>
      </c>
      <c r="B153" s="26" t="s">
        <v>106</v>
      </c>
      <c r="C153" s="26"/>
      <c r="D153" s="45" t="s">
        <v>129</v>
      </c>
      <c r="E153" s="75" t="s">
        <v>31</v>
      </c>
      <c r="F153" s="76" t="s">
        <v>29</v>
      </c>
      <c r="G153" s="76" t="s">
        <v>30</v>
      </c>
      <c r="H153" s="77" t="s">
        <v>32</v>
      </c>
      <c r="I153" s="26"/>
      <c r="J153" s="26"/>
      <c r="K153" s="26"/>
      <c r="L153" s="26"/>
      <c r="M153" s="26"/>
      <c r="N153" s="26"/>
      <c r="O153" s="26"/>
      <c r="P153" s="34"/>
    </row>
    <row r="154" spans="1:16" x14ac:dyDescent="0.2">
      <c r="A154" s="37">
        <f>(A152-A151)/(A153-A151)</f>
        <v>0.34</v>
      </c>
      <c r="B154" s="30" t="s">
        <v>101</v>
      </c>
      <c r="C154" s="30"/>
      <c r="D154" s="4">
        <f>D149+$A$154*(L149-D149)</f>
        <v>313.89824434967045</v>
      </c>
      <c r="E154" s="41">
        <f t="shared" ref="E154:G154" si="37">E149+$A$154*(M149-E149)</f>
        <v>1.4925747906128126</v>
      </c>
      <c r="F154" s="4">
        <f t="shared" si="37"/>
        <v>2830.2627842634615</v>
      </c>
      <c r="G154" s="4">
        <f t="shared" si="37"/>
        <v>3100</v>
      </c>
      <c r="H154" s="39">
        <f>H149+$A$154*(P149-H149)</f>
        <v>7.9646195767646581</v>
      </c>
      <c r="I154" s="30"/>
      <c r="J154" s="30"/>
      <c r="K154" s="30"/>
      <c r="L154" s="30"/>
      <c r="M154" s="30"/>
      <c r="N154" s="30"/>
      <c r="O154" s="30"/>
      <c r="P154" s="35"/>
    </row>
  </sheetData>
  <conditionalFormatting sqref="A13">
    <cfRule type="cellIs" dxfId="11" priority="5" operator="equal">
      <formula>FALSE</formula>
    </cfRule>
    <cfRule type="cellIs" dxfId="10" priority="6" operator="equal">
      <formula>TRUE</formula>
    </cfRule>
  </conditionalFormatting>
  <conditionalFormatting sqref="A64">
    <cfRule type="cellIs" dxfId="9" priority="3" operator="equal">
      <formula>FALSE</formula>
    </cfRule>
    <cfRule type="cellIs" dxfId="8" priority="4" operator="equal">
      <formula>TRUE</formula>
    </cfRule>
  </conditionalFormatting>
  <conditionalFormatting sqref="A115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A2" workbookViewId="0">
      <selection activeCell="B11" sqref="B11"/>
    </sheetView>
  </sheetViews>
  <sheetFormatPr defaultRowHeight="11.25" x14ac:dyDescent="0.2"/>
  <cols>
    <col min="1" max="1" width="12.83203125" customWidth="1"/>
    <col min="2" max="2" width="10.6640625" customWidth="1"/>
    <col min="3" max="3" width="10.83203125" customWidth="1"/>
    <col min="4" max="4" width="14" customWidth="1"/>
    <col min="10" max="10" width="11.83203125" customWidth="1"/>
    <col min="11" max="11" width="13.1640625" customWidth="1"/>
    <col min="12" max="12" width="6.33203125" customWidth="1"/>
  </cols>
  <sheetData>
    <row r="1" spans="1:37" ht="15.75" hidden="1" customHeight="1" x14ac:dyDescent="0.25">
      <c r="A1" s="10" t="s">
        <v>79</v>
      </c>
    </row>
    <row r="3" spans="1:37" x14ac:dyDescent="0.2">
      <c r="A3" s="46" t="s">
        <v>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1"/>
    </row>
    <row r="4" spans="1:37" ht="45" x14ac:dyDescent="0.2">
      <c r="A4" s="45" t="s">
        <v>14</v>
      </c>
      <c r="B4" s="45" t="s">
        <v>15</v>
      </c>
      <c r="C4" s="45" t="s">
        <v>16</v>
      </c>
      <c r="D4" s="45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7" t="s">
        <v>24</v>
      </c>
      <c r="L4" s="52" t="s">
        <v>49</v>
      </c>
      <c r="M4" s="52" t="s">
        <v>50</v>
      </c>
      <c r="N4" s="52" t="s">
        <v>51</v>
      </c>
      <c r="O4" s="52" t="s">
        <v>52</v>
      </c>
      <c r="P4" s="53" t="s">
        <v>53</v>
      </c>
      <c r="Q4" s="53" t="s">
        <v>54</v>
      </c>
      <c r="R4" s="53" t="s">
        <v>55</v>
      </c>
      <c r="S4" s="53" t="s">
        <v>56</v>
      </c>
      <c r="T4" s="53" t="s">
        <v>57</v>
      </c>
      <c r="U4" s="53" t="s">
        <v>58</v>
      </c>
      <c r="V4" s="53" t="s">
        <v>59</v>
      </c>
      <c r="W4" s="53" t="s">
        <v>60</v>
      </c>
      <c r="X4" s="53" t="s">
        <v>61</v>
      </c>
      <c r="Y4" s="53" t="s">
        <v>62</v>
      </c>
      <c r="Z4" s="53" t="s">
        <v>63</v>
      </c>
      <c r="AA4" s="53" t="s">
        <v>64</v>
      </c>
      <c r="AB4" s="53" t="s">
        <v>65</v>
      </c>
      <c r="AC4" s="53" t="s">
        <v>66</v>
      </c>
      <c r="AD4" s="53" t="s">
        <v>67</v>
      </c>
      <c r="AE4" s="53" t="s">
        <v>68</v>
      </c>
      <c r="AF4" s="53" t="s">
        <v>69</v>
      </c>
      <c r="AG4" s="53" t="s">
        <v>70</v>
      </c>
      <c r="AH4" s="53" t="s">
        <v>71</v>
      </c>
      <c r="AI4" s="53" t="s">
        <v>72</v>
      </c>
      <c r="AJ4" s="53" t="s">
        <v>73</v>
      </c>
      <c r="AK4" s="53" t="s">
        <v>74</v>
      </c>
    </row>
    <row r="5" spans="1:37" x14ac:dyDescent="0.2">
      <c r="A5" s="40">
        <v>212</v>
      </c>
      <c r="B5" s="4">
        <f>R5+($A5-$N5)/($O5-$N5)*(S5-R5)</f>
        <v>14.7</v>
      </c>
      <c r="C5" s="56">
        <f>T5+($A5-$N5)/($O5-$N5)*(U5-T5)</f>
        <v>1.6719999999999999E-2</v>
      </c>
      <c r="D5" s="39">
        <f>V5+($A5-$N5)/($O5-$N5)*(W5-V5)</f>
        <v>26.8</v>
      </c>
      <c r="E5" s="58">
        <f>X5+($A5-$N5)/($O5-$N5)*(Y5-X5)</f>
        <v>180.1</v>
      </c>
      <c r="F5" s="58">
        <f>Z5+($A5-$N5)/($O5-$N5)*(AA5-Z5)</f>
        <v>1077.5999999999999</v>
      </c>
      <c r="G5" s="58">
        <f>AB5+($A5-$N5)/($O5-$N5)*(AC5-AB5)</f>
        <v>180.2</v>
      </c>
      <c r="H5" s="58">
        <f>AD5+($A5-$N5)/($O5-$N5)*(AE5-AD5)</f>
        <v>970.3</v>
      </c>
      <c r="I5" s="58">
        <f>AF5+($A5-$N5)/($O5-$N5)*(AG5-AF5)</f>
        <v>1150.5</v>
      </c>
      <c r="J5" s="59">
        <f>AH5+($A5-$N5)/($O5-$N5)*(AI5-AH5)</f>
        <v>0.31209999999999999</v>
      </c>
      <c r="K5" s="59">
        <f>AJ5+($A5-$N5)/($O5-$N5)*(AK5-AJ5)</f>
        <v>1.7566999999999999</v>
      </c>
      <c r="L5" s="54"/>
      <c r="M5" s="36">
        <f>MATCH(A5,TemperatureEnglish!A:A)</f>
        <v>44</v>
      </c>
      <c r="N5" s="36">
        <f>INDEX(TemperatureEnglish!A:A,M5)</f>
        <v>212</v>
      </c>
      <c r="O5" s="36">
        <f>INDEX(TemperatureEnglish!A:A,M5+1)</f>
        <v>220</v>
      </c>
      <c r="P5" s="36">
        <f>INDEX(TemperatureEnglish!$A:$A,$M5)</f>
        <v>212</v>
      </c>
      <c r="Q5" s="36">
        <f>INDEX(TemperatureEnglish!$A:$A,$M5+1)</f>
        <v>220</v>
      </c>
      <c r="R5" s="36">
        <f>INDEX(TemperatureEnglish!$B:$B,$M5)</f>
        <v>14.7</v>
      </c>
      <c r="S5" s="36">
        <f>INDEX(TemperatureEnglish!$B:$B,$M5+1)</f>
        <v>17.190000000000001</v>
      </c>
      <c r="T5" s="36">
        <f>INDEX(TemperatureEnglish!$C:$C,$M5)</f>
        <v>1.6719999999999999E-2</v>
      </c>
      <c r="U5" s="36">
        <f>INDEX(TemperatureEnglish!$C:$C,$M5+1)</f>
        <v>1.677E-2</v>
      </c>
      <c r="V5" s="36">
        <f>INDEX(TemperatureEnglish!$D:$D,$M5)</f>
        <v>26.8</v>
      </c>
      <c r="W5" s="36">
        <f>INDEX(TemperatureEnglish!$D:$D,$M5+1)</f>
        <v>23.15</v>
      </c>
      <c r="X5" s="36">
        <f>INDEX(TemperatureEnglish!$E:$E,$M5)</f>
        <v>180.1</v>
      </c>
      <c r="Y5" s="36">
        <f>INDEX(TemperatureEnglish!$E:$E,$M5+1)</f>
        <v>188.2</v>
      </c>
      <c r="Z5" s="36">
        <f>INDEX(TemperatureEnglish!$F:$F,$M5)</f>
        <v>1077.5999999999999</v>
      </c>
      <c r="AA5" s="36">
        <f>INDEX(TemperatureEnglish!$F:$F,$M5+1)</f>
        <v>1079.8</v>
      </c>
      <c r="AB5" s="36">
        <f>INDEX(TemperatureEnglish!$G:$G,$M5)</f>
        <v>180.2</v>
      </c>
      <c r="AC5" s="36">
        <f>INDEX(TemperatureEnglish!$G:$G,$M5+1)</f>
        <v>188.2</v>
      </c>
      <c r="AD5" s="36">
        <f>INDEX(TemperatureEnglish!$H:$H,$M5)</f>
        <v>970.3</v>
      </c>
      <c r="AE5" s="36">
        <f>INDEX(TemperatureEnglish!$H:$H,$M5+1)</f>
        <v>965.3</v>
      </c>
      <c r="AF5" s="36">
        <f>INDEX(TemperatureEnglish!$I:$I,$M5)</f>
        <v>1150.5</v>
      </c>
      <c r="AG5" s="36">
        <f>INDEX(TemperatureEnglish!$I:$I,$M5+1)</f>
        <v>1153.5</v>
      </c>
      <c r="AH5" s="36">
        <f>INDEX(TemperatureEnglish!$J:$J,$M5)</f>
        <v>0.31209999999999999</v>
      </c>
      <c r="AI5" s="36">
        <f>INDEX(TemperatureEnglish!$J:$J,$M5+1)</f>
        <v>0.3241</v>
      </c>
      <c r="AJ5" s="36">
        <f>INDEX(TemperatureEnglish!$K:$K,$M5)</f>
        <v>1.7566999999999999</v>
      </c>
      <c r="AK5" s="36">
        <f>INDEX(TemperatureEnglish!$K:$K,$M5+1)</f>
        <v>1.7441</v>
      </c>
    </row>
    <row r="6" spans="1:37" x14ac:dyDescent="0.2">
      <c r="E6" s="60"/>
      <c r="F6" s="60"/>
      <c r="G6" s="60"/>
      <c r="H6" s="60"/>
      <c r="I6" s="60"/>
      <c r="J6" s="60"/>
      <c r="K6" s="60"/>
    </row>
    <row r="7" spans="1:37" x14ac:dyDescent="0.2">
      <c r="E7" s="60"/>
      <c r="F7" s="60"/>
      <c r="G7" s="60"/>
      <c r="H7" s="60"/>
      <c r="I7" s="60"/>
      <c r="J7" s="60"/>
      <c r="K7" s="60"/>
    </row>
    <row r="8" spans="1:37" x14ac:dyDescent="0.2">
      <c r="A8" s="46" t="s">
        <v>78</v>
      </c>
      <c r="B8" s="50"/>
      <c r="C8" s="50"/>
      <c r="D8" s="50"/>
      <c r="E8" s="61"/>
      <c r="F8" s="61"/>
      <c r="G8" s="61"/>
      <c r="H8" s="61"/>
      <c r="I8" s="61"/>
      <c r="J8" s="61"/>
      <c r="K8" s="61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1"/>
    </row>
    <row r="9" spans="1:37" ht="45" x14ac:dyDescent="0.2">
      <c r="A9" s="45" t="s">
        <v>14</v>
      </c>
      <c r="B9" s="45" t="s">
        <v>15</v>
      </c>
      <c r="C9" s="45" t="s">
        <v>16</v>
      </c>
      <c r="D9" s="45" t="s">
        <v>17</v>
      </c>
      <c r="E9" s="1" t="s">
        <v>18</v>
      </c>
      <c r="F9" s="1" t="s">
        <v>19</v>
      </c>
      <c r="G9" s="1" t="s">
        <v>20</v>
      </c>
      <c r="H9" s="1" t="s">
        <v>21</v>
      </c>
      <c r="I9" s="1" t="s">
        <v>22</v>
      </c>
      <c r="J9" s="1" t="s">
        <v>23</v>
      </c>
      <c r="K9" s="7" t="s">
        <v>24</v>
      </c>
      <c r="L9" s="52" t="s">
        <v>49</v>
      </c>
      <c r="M9" s="52" t="s">
        <v>50</v>
      </c>
      <c r="N9" s="52" t="s">
        <v>51</v>
      </c>
      <c r="O9" s="52" t="s">
        <v>52</v>
      </c>
      <c r="P9" s="53" t="s">
        <v>53</v>
      </c>
      <c r="Q9" s="53" t="s">
        <v>54</v>
      </c>
      <c r="R9" s="53" t="s">
        <v>55</v>
      </c>
      <c r="S9" s="53" t="s">
        <v>56</v>
      </c>
      <c r="T9" s="53" t="s">
        <v>57</v>
      </c>
      <c r="U9" s="53" t="s">
        <v>58</v>
      </c>
      <c r="V9" s="53" t="s">
        <v>59</v>
      </c>
      <c r="W9" s="53" t="s">
        <v>60</v>
      </c>
      <c r="X9" s="53" t="s">
        <v>61</v>
      </c>
      <c r="Y9" s="53" t="s">
        <v>62</v>
      </c>
      <c r="Z9" s="53" t="s">
        <v>63</v>
      </c>
      <c r="AA9" s="53" t="s">
        <v>64</v>
      </c>
      <c r="AB9" s="53" t="s">
        <v>65</v>
      </c>
      <c r="AC9" s="53" t="s">
        <v>66</v>
      </c>
      <c r="AD9" s="53" t="s">
        <v>67</v>
      </c>
      <c r="AE9" s="53" t="s">
        <v>68</v>
      </c>
      <c r="AF9" s="53" t="s">
        <v>69</v>
      </c>
      <c r="AG9" s="53" t="s">
        <v>70</v>
      </c>
      <c r="AH9" s="53" t="s">
        <v>71</v>
      </c>
      <c r="AI9" s="53" t="s">
        <v>72</v>
      </c>
      <c r="AJ9" s="53" t="s">
        <v>73</v>
      </c>
      <c r="AK9" s="53" t="s">
        <v>74</v>
      </c>
    </row>
    <row r="10" spans="1:37" x14ac:dyDescent="0.2">
      <c r="A10" s="4">
        <f>P10+($B10-$N10)/($O10-$N10)*(Q10-P10)</f>
        <v>212.96385542168676</v>
      </c>
      <c r="B10" s="57">
        <v>15</v>
      </c>
      <c r="C10" s="56">
        <f>T10+($B10-$N10)/($O10-$N10)*(U10-T10)</f>
        <v>1.6726024096385541E-2</v>
      </c>
      <c r="D10" s="39">
        <f>V10+($B10-$N10)/($O10-$N10)*(W10-V10)</f>
        <v>26.360240963855421</v>
      </c>
      <c r="E10" s="4">
        <f>X10+($B10-$N10)/($O10-$N10)*(Y10-X10)</f>
        <v>181.07590361445781</v>
      </c>
      <c r="F10" s="4">
        <f>Z10+($B10-$N10)/($O10-$N10)*(AA10-Z10)</f>
        <v>1077.8650602409637</v>
      </c>
      <c r="G10" s="4">
        <f>AB10+($B10-$N10)/($O10-$N10)*(AC10-AB10)</f>
        <v>181.16385542168675</v>
      </c>
      <c r="H10" s="4">
        <f>AD10+($B10-$N10)/($O10-$N10)*(AE10-AD10)</f>
        <v>969.69759036144569</v>
      </c>
      <c r="I10" s="4">
        <f>AF10+($B10-$N10)/($O10-$N10)*(AG10-AF10)</f>
        <v>1150.8614457831325</v>
      </c>
      <c r="J10" s="39">
        <f>AH10+($B10-$N10)/($O10-$N10)*(AI10-AH10)</f>
        <v>0.31354578313253012</v>
      </c>
      <c r="K10" s="39">
        <f>AJ10+($B10-$N10)/($O10-$N10)*(AK10-AJ10)</f>
        <v>1.7551819277108434</v>
      </c>
      <c r="L10" s="54"/>
      <c r="M10" s="36">
        <f>MATCH(B10,TemperatureEnglish!B:B)</f>
        <v>44</v>
      </c>
      <c r="N10" s="36">
        <f>INDEX(TemperatureEnglish!B:B,M10)</f>
        <v>14.7</v>
      </c>
      <c r="O10" s="36">
        <f>INDEX(TemperatureEnglish!B:B,M10+1)</f>
        <v>17.190000000000001</v>
      </c>
      <c r="P10" s="36">
        <f>INDEX(TemperatureEnglish!$A:$A,$M10)</f>
        <v>212</v>
      </c>
      <c r="Q10" s="36">
        <f>INDEX(TemperatureEnglish!$A:$A,$M10+1)</f>
        <v>220</v>
      </c>
      <c r="R10" s="36">
        <f>INDEX(TemperatureEnglish!$B:$B,$M10)</f>
        <v>14.7</v>
      </c>
      <c r="S10" s="36">
        <f>INDEX(TemperatureEnglish!$B:$B,$M10+1)</f>
        <v>17.190000000000001</v>
      </c>
      <c r="T10" s="36">
        <f>INDEX(TemperatureEnglish!$C:$C,$M10)</f>
        <v>1.6719999999999999E-2</v>
      </c>
      <c r="U10" s="36">
        <f>INDEX(TemperatureEnglish!$C:$C,$M10+1)</f>
        <v>1.677E-2</v>
      </c>
      <c r="V10" s="36">
        <f>INDEX(TemperatureEnglish!$D:$D,$M10)</f>
        <v>26.8</v>
      </c>
      <c r="W10" s="36">
        <f>INDEX(TemperatureEnglish!$D:$D,$M10+1)</f>
        <v>23.15</v>
      </c>
      <c r="X10" s="36">
        <f>INDEX(TemperatureEnglish!$E:$E,$M10)</f>
        <v>180.1</v>
      </c>
      <c r="Y10" s="36">
        <f>INDEX(TemperatureEnglish!$E:$E,$M10+1)</f>
        <v>188.2</v>
      </c>
      <c r="Z10" s="36">
        <f>INDEX(TemperatureEnglish!$F:$F,$M10)</f>
        <v>1077.5999999999999</v>
      </c>
      <c r="AA10" s="36">
        <f>INDEX(TemperatureEnglish!$F:$F,$M10+1)</f>
        <v>1079.8</v>
      </c>
      <c r="AB10" s="36">
        <f>INDEX(TemperatureEnglish!$G:$G,$M10)</f>
        <v>180.2</v>
      </c>
      <c r="AC10" s="36">
        <f>INDEX(TemperatureEnglish!$G:$G,$M10+1)</f>
        <v>188.2</v>
      </c>
      <c r="AD10" s="36">
        <f>INDEX(TemperatureEnglish!$H:$H,$M10)</f>
        <v>970.3</v>
      </c>
      <c r="AE10" s="36">
        <f>INDEX(TemperatureEnglish!$H:$H,$M10+1)</f>
        <v>965.3</v>
      </c>
      <c r="AF10" s="36">
        <f>INDEX(TemperatureEnglish!$I:$I,$M10)</f>
        <v>1150.5</v>
      </c>
      <c r="AG10" s="36">
        <f>INDEX(TemperatureEnglish!$I:$I,$M10+1)</f>
        <v>1153.5</v>
      </c>
      <c r="AH10" s="36">
        <f>INDEX(TemperatureEnglish!$J:$J,$M10)</f>
        <v>0.31209999999999999</v>
      </c>
      <c r="AI10" s="36">
        <f>INDEX(TemperatureEnglish!$J:$J,$M10+1)</f>
        <v>0.3241</v>
      </c>
      <c r="AJ10" s="36">
        <f>INDEX(TemperatureEnglish!$K:$K,$M10)</f>
        <v>1.7566999999999999</v>
      </c>
      <c r="AK10" s="36">
        <f>INDEX(TemperatureEnglish!$K:$K,$M10+1)</f>
        <v>1.7441</v>
      </c>
    </row>
    <row r="12" spans="1:37" x14ac:dyDescent="0.2">
      <c r="K12" s="55"/>
    </row>
    <row r="13" spans="1:37" ht="12.75" x14ac:dyDescent="0.2">
      <c r="A13" s="153" t="s">
        <v>201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1"/>
    </row>
    <row r="16" spans="1:37" x14ac:dyDescent="0.2">
      <c r="A16" s="46" t="s">
        <v>223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1"/>
    </row>
    <row r="17" spans="1:37" ht="45" x14ac:dyDescent="0.2">
      <c r="A17" s="45" t="s">
        <v>14</v>
      </c>
      <c r="B17" s="45" t="s">
        <v>15</v>
      </c>
      <c r="C17" s="45" t="s">
        <v>16</v>
      </c>
      <c r="D17" s="45" t="s">
        <v>17</v>
      </c>
      <c r="E17" s="1" t="s">
        <v>18</v>
      </c>
      <c r="F17" s="1" t="s">
        <v>19</v>
      </c>
      <c r="G17" s="1" t="s">
        <v>20</v>
      </c>
      <c r="H17" s="1" t="s">
        <v>21</v>
      </c>
      <c r="I17" s="1" t="s">
        <v>22</v>
      </c>
      <c r="J17" s="1" t="s">
        <v>23</v>
      </c>
      <c r="K17" s="7" t="s">
        <v>24</v>
      </c>
      <c r="L17" s="52" t="s">
        <v>49</v>
      </c>
      <c r="M17" s="52" t="s">
        <v>50</v>
      </c>
      <c r="N17" s="52" t="s">
        <v>51</v>
      </c>
      <c r="O17" s="52" t="s">
        <v>52</v>
      </c>
      <c r="P17" s="53" t="s">
        <v>53</v>
      </c>
      <c r="Q17" s="53" t="s">
        <v>54</v>
      </c>
      <c r="R17" s="53" t="s">
        <v>55</v>
      </c>
      <c r="S17" s="53" t="s">
        <v>56</v>
      </c>
      <c r="T17" s="53" t="s">
        <v>57</v>
      </c>
      <c r="U17" s="53" t="s">
        <v>58</v>
      </c>
      <c r="V17" s="53" t="s">
        <v>59</v>
      </c>
      <c r="W17" s="53" t="s">
        <v>60</v>
      </c>
      <c r="X17" s="53" t="s">
        <v>61</v>
      </c>
      <c r="Y17" s="53" t="s">
        <v>62</v>
      </c>
      <c r="Z17" s="53" t="s">
        <v>63</v>
      </c>
      <c r="AA17" s="53" t="s">
        <v>64</v>
      </c>
      <c r="AB17" s="53" t="s">
        <v>65</v>
      </c>
      <c r="AC17" s="53" t="s">
        <v>66</v>
      </c>
      <c r="AD17" s="53" t="s">
        <v>67</v>
      </c>
      <c r="AE17" s="53" t="s">
        <v>68</v>
      </c>
      <c r="AF17" s="53" t="s">
        <v>69</v>
      </c>
      <c r="AG17" s="53" t="s">
        <v>70</v>
      </c>
      <c r="AH17" s="53" t="s">
        <v>71</v>
      </c>
      <c r="AI17" s="53" t="s">
        <v>72</v>
      </c>
      <c r="AJ17" s="53" t="s">
        <v>73</v>
      </c>
      <c r="AK17" s="53" t="s">
        <v>74</v>
      </c>
    </row>
    <row r="18" spans="1:37" x14ac:dyDescent="0.2">
      <c r="A18" s="4">
        <f>P18+($G18-$N18)/($O18-$N18)*(Q18-P18)</f>
        <v>220.79207920792081</v>
      </c>
      <c r="B18" s="4">
        <f>R18+($G18-$N18)/($O18-$N18)*(S18-R18)</f>
        <v>17.474356435643568</v>
      </c>
      <c r="C18" s="56">
        <f>T18+($G18-$N18)/($O18-$N18)*(U18-T18)</f>
        <v>1.6776336633663368E-2</v>
      </c>
      <c r="D18" s="39">
        <f>V18+($G18-$N18)/($O18-$N18)*(W18-V18)</f>
        <v>22.852178217821777</v>
      </c>
      <c r="E18" s="4">
        <f>X18+($G18-$N18)/($O18-$N18)*(Y18-X18)</f>
        <v>189</v>
      </c>
      <c r="F18" s="4">
        <f>Z18+($G18-$N18)/($O18-$N18)*(AA18-Z18)</f>
        <v>1080.0217821782178</v>
      </c>
      <c r="G18" s="57">
        <v>189</v>
      </c>
      <c r="H18" s="4">
        <f>AD18+($G18-$N18)/($O18-$N18)*(AE18-AD18)</f>
        <v>964.78514851485147</v>
      </c>
      <c r="I18" s="4">
        <f>AF18+($G18-$N18)/($O18-$N18)*(AG18-AF18)</f>
        <v>1153.7851485148515</v>
      </c>
      <c r="J18" s="39">
        <f>AH18+($G18-$N18)/($O18-$N18)*(AI18-AH18)</f>
        <v>0.32526435643564355</v>
      </c>
      <c r="K18" s="39">
        <f>AJ18+($G18-$N18)/($O18-$N18)*(AK18-AJ18)</f>
        <v>1.7428960396039603</v>
      </c>
      <c r="L18" s="54"/>
      <c r="M18" s="36">
        <f>MATCH(G18,TemperatureEnglish!G:G)</f>
        <v>45</v>
      </c>
      <c r="N18" s="36">
        <f>INDEX(TemperatureEnglish!G:G,M18)</f>
        <v>188.2</v>
      </c>
      <c r="O18" s="36">
        <f>INDEX(TemperatureEnglish!G:G,M18+1)</f>
        <v>198.3</v>
      </c>
      <c r="P18" s="36">
        <f>INDEX(TemperatureEnglish!$A:$A,$M18)</f>
        <v>220</v>
      </c>
      <c r="Q18" s="36">
        <f>INDEX(TemperatureEnglish!$A:$A,$M18+1)</f>
        <v>230</v>
      </c>
      <c r="R18" s="36">
        <f>INDEX(TemperatureEnglish!$B:$B,$M18)</f>
        <v>17.190000000000001</v>
      </c>
      <c r="S18" s="36">
        <f>INDEX(TemperatureEnglish!$B:$B,$M18+1)</f>
        <v>20.78</v>
      </c>
      <c r="T18" s="36">
        <f>INDEX(TemperatureEnglish!$C:$C,$M18)</f>
        <v>1.677E-2</v>
      </c>
      <c r="U18" s="36">
        <f>INDEX(TemperatureEnglish!$C:$C,$M18+1)</f>
        <v>1.685E-2</v>
      </c>
      <c r="V18" s="36">
        <f>INDEX(TemperatureEnglish!$D:$D,$M18)</f>
        <v>23.15</v>
      </c>
      <c r="W18" s="36">
        <f>INDEX(TemperatureEnglish!$D:$D,$M18+1)</f>
        <v>19.39</v>
      </c>
      <c r="X18" s="36">
        <f>INDEX(TemperatureEnglish!$E:$E,$M18)</f>
        <v>188.2</v>
      </c>
      <c r="Y18" s="36">
        <f>INDEX(TemperatureEnglish!$E:$E,$M18+1)</f>
        <v>198.3</v>
      </c>
      <c r="Z18" s="36">
        <f>INDEX(TemperatureEnglish!$F:$F,$M18)</f>
        <v>1079.8</v>
      </c>
      <c r="AA18" s="36">
        <f>INDEX(TemperatureEnglish!$F:$F,$M18+1)</f>
        <v>1082.5999999999999</v>
      </c>
      <c r="AB18" s="36">
        <f>INDEX(TemperatureEnglish!$G:$G,$M18)</f>
        <v>188.2</v>
      </c>
      <c r="AC18" s="36">
        <f>INDEX(TemperatureEnglish!$G:$G,$M18+1)</f>
        <v>198.3</v>
      </c>
      <c r="AD18" s="36">
        <f>INDEX(TemperatureEnglish!$H:$H,$M18)</f>
        <v>965.3</v>
      </c>
      <c r="AE18" s="36">
        <f>INDEX(TemperatureEnglish!$H:$H,$M18+1)</f>
        <v>958.8</v>
      </c>
      <c r="AF18" s="36">
        <f>INDEX(TemperatureEnglish!$I:$I,$M18)</f>
        <v>1153.5</v>
      </c>
      <c r="AG18" s="36">
        <f>INDEX(TemperatureEnglish!$I:$I,$M18+1)</f>
        <v>1157.0999999999999</v>
      </c>
      <c r="AH18" s="36">
        <f>INDEX(TemperatureEnglish!$J:$J,$M18)</f>
        <v>0.3241</v>
      </c>
      <c r="AI18" s="36">
        <f>INDEX(TemperatureEnglish!$J:$J,$M18+1)</f>
        <v>0.33879999999999999</v>
      </c>
      <c r="AJ18" s="36">
        <f>INDEX(TemperatureEnglish!$K:$K,$M18)</f>
        <v>1.7441</v>
      </c>
      <c r="AK18" s="36">
        <f>INDEX(TemperatureEnglish!$K:$K,$M18+1)</f>
        <v>1.7289000000000001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pane ySplit="2" topLeftCell="A3" activePane="bottomLeft" state="frozen"/>
      <selection pane="bottomLeft" activeCell="O67" sqref="O67"/>
    </sheetView>
  </sheetViews>
  <sheetFormatPr defaultRowHeight="11.25" x14ac:dyDescent="0.2"/>
  <cols>
    <col min="1" max="1" width="7.1640625" customWidth="1"/>
    <col min="2" max="2" width="9.6640625" bestFit="1" customWidth="1"/>
    <col min="3" max="3" width="9.33203125" style="14"/>
    <col min="4" max="4" width="10.6640625" style="14" bestFit="1" customWidth="1"/>
    <col min="5" max="5" width="9.1640625" style="5" customWidth="1"/>
    <col min="6" max="6" width="9.33203125" style="11"/>
    <col min="7" max="7" width="9.33203125" style="5"/>
    <col min="8" max="9" width="9.33203125" style="11"/>
    <col min="10" max="10" width="12.6640625" style="14" customWidth="1"/>
    <col min="11" max="11" width="12.33203125" style="14" customWidth="1"/>
    <col min="12" max="12" width="7.6640625" customWidth="1"/>
  </cols>
  <sheetData>
    <row r="1" spans="1:12" ht="15.75" x14ac:dyDescent="0.25">
      <c r="A1" s="10" t="s">
        <v>13</v>
      </c>
      <c r="B1" s="3"/>
    </row>
    <row r="2" spans="1:12" ht="22.5" x14ac:dyDescent="0.2">
      <c r="A2" s="1" t="s">
        <v>14</v>
      </c>
      <c r="B2" s="9" t="s">
        <v>15</v>
      </c>
      <c r="C2" s="15" t="s">
        <v>16</v>
      </c>
      <c r="D2" s="15" t="s">
        <v>17</v>
      </c>
      <c r="E2" s="6" t="s">
        <v>18</v>
      </c>
      <c r="F2" s="12" t="s">
        <v>19</v>
      </c>
      <c r="G2" s="6" t="s">
        <v>20</v>
      </c>
      <c r="H2" s="12" t="s">
        <v>21</v>
      </c>
      <c r="I2" s="12" t="s">
        <v>22</v>
      </c>
      <c r="J2" s="15" t="s">
        <v>23</v>
      </c>
      <c r="K2" s="15" t="s">
        <v>24</v>
      </c>
      <c r="L2" s="1" t="s">
        <v>14</v>
      </c>
    </row>
    <row r="3" spans="1:12" x14ac:dyDescent="0.2">
      <c r="A3">
        <v>32</v>
      </c>
      <c r="B3" s="8">
        <v>8.8599999999999998E-2</v>
      </c>
      <c r="C3" s="14">
        <v>1.602E-2</v>
      </c>
      <c r="D3" s="14">
        <v>3305</v>
      </c>
      <c r="E3" s="5">
        <v>-0.01</v>
      </c>
      <c r="F3" s="11">
        <v>1021.2</v>
      </c>
      <c r="G3" s="5">
        <v>-0.01</v>
      </c>
      <c r="H3" s="11">
        <v>1075.4000000000001</v>
      </c>
      <c r="I3" s="11">
        <v>1075.4000000000001</v>
      </c>
      <c r="J3" s="14">
        <v>-3.0000000000000001E-5</v>
      </c>
      <c r="K3" s="14">
        <v>2.1869999999999998</v>
      </c>
      <c r="L3">
        <v>32</v>
      </c>
    </row>
    <row r="4" spans="1:12" x14ac:dyDescent="0.2">
      <c r="A4">
        <v>35</v>
      </c>
      <c r="B4" s="8">
        <v>9.9900000000000003E-2</v>
      </c>
      <c r="C4" s="14">
        <v>1.602E-2</v>
      </c>
      <c r="D4" s="14">
        <v>2948</v>
      </c>
      <c r="E4" s="5">
        <v>2.99</v>
      </c>
      <c r="F4" s="11">
        <v>1022.2</v>
      </c>
      <c r="G4" s="5">
        <v>3</v>
      </c>
      <c r="H4" s="11">
        <v>1073.7</v>
      </c>
      <c r="I4" s="11">
        <v>1076.7</v>
      </c>
      <c r="J4" s="14">
        <v>6.0699999999999999E-3</v>
      </c>
      <c r="K4" s="14">
        <v>2.1764000000000001</v>
      </c>
      <c r="L4">
        <v>35</v>
      </c>
    </row>
    <row r="5" spans="1:12" x14ac:dyDescent="0.2">
      <c r="A5">
        <v>40</v>
      </c>
      <c r="B5" s="8">
        <v>0.1217</v>
      </c>
      <c r="C5" s="14">
        <v>1.602E-2</v>
      </c>
      <c r="D5" s="14">
        <v>2445</v>
      </c>
      <c r="E5" s="5">
        <v>8.02</v>
      </c>
      <c r="F5" s="11">
        <v>1023.9</v>
      </c>
      <c r="G5" s="5">
        <v>8.02</v>
      </c>
      <c r="H5" s="11">
        <v>1070.9000000000001</v>
      </c>
      <c r="I5" s="11">
        <v>1078.9000000000001</v>
      </c>
      <c r="J5" s="14">
        <v>1.617E-2</v>
      </c>
      <c r="K5" s="14">
        <v>2.1591999999999998</v>
      </c>
      <c r="L5">
        <v>40</v>
      </c>
    </row>
    <row r="6" spans="1:12" x14ac:dyDescent="0.2">
      <c r="A6">
        <v>45</v>
      </c>
      <c r="B6" s="8">
        <v>0.14749999999999999</v>
      </c>
      <c r="C6" s="14">
        <v>1.602E-2</v>
      </c>
      <c r="D6" s="14">
        <v>2037</v>
      </c>
      <c r="E6" s="5">
        <v>13.04</v>
      </c>
      <c r="F6" s="11">
        <v>1025.5</v>
      </c>
      <c r="G6" s="5">
        <v>13.04</v>
      </c>
      <c r="H6" s="11">
        <v>1068.0999999999999</v>
      </c>
      <c r="I6" s="11">
        <v>1081.0999999999999</v>
      </c>
      <c r="J6" s="14">
        <v>2.6179999999999998E-2</v>
      </c>
      <c r="K6" s="14">
        <v>2.1423000000000001</v>
      </c>
      <c r="L6">
        <v>45</v>
      </c>
    </row>
    <row r="7" spans="1:12" x14ac:dyDescent="0.2">
      <c r="A7">
        <v>50</v>
      </c>
      <c r="B7" s="8">
        <v>0.17799999999999999</v>
      </c>
      <c r="C7" s="14">
        <v>1.602E-2</v>
      </c>
      <c r="D7" s="14">
        <v>1704</v>
      </c>
      <c r="E7" s="5">
        <v>18.059999999999999</v>
      </c>
      <c r="F7" s="11">
        <v>1027.2</v>
      </c>
      <c r="G7" s="5">
        <v>18.059999999999999</v>
      </c>
      <c r="H7" s="11">
        <v>1065.2</v>
      </c>
      <c r="I7" s="11">
        <v>1083.3</v>
      </c>
      <c r="J7" s="14">
        <v>3.6069999999999998E-2</v>
      </c>
      <c r="K7" s="14">
        <v>2.1259000000000001</v>
      </c>
      <c r="L7">
        <v>50</v>
      </c>
    </row>
    <row r="8" spans="1:12" x14ac:dyDescent="0.2">
      <c r="A8">
        <v>52</v>
      </c>
      <c r="B8" s="8">
        <v>0.19170000000000001</v>
      </c>
      <c r="C8" s="14">
        <v>1.6029999999999999E-2</v>
      </c>
      <c r="D8" s="14">
        <v>1589</v>
      </c>
      <c r="E8" s="5">
        <v>20.059999999999999</v>
      </c>
      <c r="F8" s="11">
        <v>1027.8</v>
      </c>
      <c r="G8" s="5">
        <v>20.07</v>
      </c>
      <c r="H8" s="11">
        <v>1064.0999999999999</v>
      </c>
      <c r="I8" s="11">
        <v>1084.2</v>
      </c>
      <c r="J8" s="14">
        <v>0.04</v>
      </c>
      <c r="K8" s="14">
        <v>2.1194999999999999</v>
      </c>
      <c r="L8">
        <v>52</v>
      </c>
    </row>
    <row r="9" spans="1:12" x14ac:dyDescent="0.2">
      <c r="A9">
        <v>54</v>
      </c>
      <c r="B9" s="8">
        <v>0.2064</v>
      </c>
      <c r="C9" s="14">
        <v>1.6029999999999999E-2</v>
      </c>
      <c r="D9" s="14">
        <v>1482</v>
      </c>
      <c r="E9" s="5">
        <v>22.07</v>
      </c>
      <c r="F9" s="11">
        <v>1028.5</v>
      </c>
      <c r="G9" s="5">
        <v>22.07</v>
      </c>
      <c r="H9" s="11">
        <v>1063</v>
      </c>
      <c r="I9" s="11">
        <v>1085.0999999999999</v>
      </c>
      <c r="J9" s="14">
        <v>4.3909999999999998E-2</v>
      </c>
      <c r="K9" s="14">
        <v>2.1131000000000002</v>
      </c>
      <c r="L9">
        <v>54</v>
      </c>
    </row>
    <row r="10" spans="1:12" x14ac:dyDescent="0.2">
      <c r="A10">
        <v>56</v>
      </c>
      <c r="B10" s="8">
        <v>0.22189999999999999</v>
      </c>
      <c r="C10" s="14">
        <v>1.6029999999999999E-2</v>
      </c>
      <c r="D10" s="14">
        <v>1383</v>
      </c>
      <c r="E10" s="5">
        <v>24.08</v>
      </c>
      <c r="F10" s="11">
        <v>1029.0999999999999</v>
      </c>
      <c r="G10" s="5">
        <v>24.08</v>
      </c>
      <c r="H10" s="11">
        <v>1061.9000000000001</v>
      </c>
      <c r="I10" s="11">
        <v>1085.9000000000001</v>
      </c>
      <c r="J10" s="14">
        <v>4.7809999999999998E-2</v>
      </c>
      <c r="K10" s="14">
        <v>2.1067999999999998</v>
      </c>
      <c r="L10">
        <v>56</v>
      </c>
    </row>
    <row r="11" spans="1:12" x14ac:dyDescent="0.2">
      <c r="A11">
        <v>58</v>
      </c>
      <c r="B11" s="8">
        <v>0.23860000000000001</v>
      </c>
      <c r="C11" s="14">
        <v>1.6029999999999999E-2</v>
      </c>
      <c r="D11" s="14">
        <v>1292</v>
      </c>
      <c r="E11" s="5">
        <v>26.08</v>
      </c>
      <c r="F11" s="11">
        <v>1029.8</v>
      </c>
      <c r="G11" s="5">
        <v>26.08</v>
      </c>
      <c r="H11" s="11">
        <v>1060.7</v>
      </c>
      <c r="I11" s="11">
        <v>1086.8</v>
      </c>
      <c r="J11" s="14">
        <v>5.1589999999999997E-2</v>
      </c>
      <c r="K11" s="14">
        <v>2.1004999999999998</v>
      </c>
      <c r="L11">
        <v>58</v>
      </c>
    </row>
    <row r="12" spans="1:12" x14ac:dyDescent="0.2">
      <c r="A12">
        <v>60</v>
      </c>
      <c r="B12" s="8">
        <v>0.25629999999999997</v>
      </c>
      <c r="C12" s="14">
        <v>1.6039999999999999E-2</v>
      </c>
      <c r="D12" s="14">
        <v>1207</v>
      </c>
      <c r="E12" s="5">
        <v>28.08</v>
      </c>
      <c r="F12" s="11">
        <v>1030.4000000000001</v>
      </c>
      <c r="G12" s="5">
        <v>28.08</v>
      </c>
      <c r="H12" s="11">
        <v>1059.5999999999999</v>
      </c>
      <c r="I12" s="11">
        <v>1087.7</v>
      </c>
      <c r="J12" s="14">
        <v>5.5550000000000002E-2</v>
      </c>
      <c r="K12" s="14">
        <v>2.0943000000000001</v>
      </c>
      <c r="L12">
        <v>60</v>
      </c>
    </row>
    <row r="13" spans="1:12" x14ac:dyDescent="0.2">
      <c r="A13">
        <v>62</v>
      </c>
      <c r="B13" s="8">
        <v>0.27510000000000001</v>
      </c>
      <c r="C13" s="14">
        <v>1.6039999999999999E-2</v>
      </c>
      <c r="D13" s="14">
        <v>1129</v>
      </c>
      <c r="E13" s="5">
        <v>30.09</v>
      </c>
      <c r="F13" s="11">
        <v>1031.0999999999999</v>
      </c>
      <c r="G13" s="5">
        <v>30.09</v>
      </c>
      <c r="H13" s="11">
        <v>1058.5</v>
      </c>
      <c r="I13" s="11">
        <v>1088.5999999999999</v>
      </c>
      <c r="J13" s="14">
        <v>5.9400000000000001E-2</v>
      </c>
      <c r="K13" s="14">
        <v>2.0882000000000001</v>
      </c>
      <c r="L13">
        <v>62</v>
      </c>
    </row>
    <row r="14" spans="1:12" x14ac:dyDescent="0.2">
      <c r="A14">
        <v>64</v>
      </c>
      <c r="B14" s="8">
        <v>0.29520000000000002</v>
      </c>
      <c r="C14" s="14">
        <v>1.6039999999999999E-2</v>
      </c>
      <c r="D14" s="14">
        <v>1056</v>
      </c>
      <c r="E14" s="5">
        <v>32.090000000000003</v>
      </c>
      <c r="F14" s="11">
        <v>1031.8</v>
      </c>
      <c r="G14" s="5">
        <v>32.090000000000003</v>
      </c>
      <c r="H14" s="11">
        <v>1057.3</v>
      </c>
      <c r="I14" s="11">
        <v>1089.4000000000001</v>
      </c>
      <c r="J14" s="14">
        <v>6.3229999999999995E-2</v>
      </c>
      <c r="K14" s="14">
        <v>2.0821000000000001</v>
      </c>
      <c r="L14">
        <v>64</v>
      </c>
    </row>
    <row r="15" spans="1:12" x14ac:dyDescent="0.2">
      <c r="A15">
        <v>66</v>
      </c>
      <c r="B15" s="8">
        <v>0.3165</v>
      </c>
      <c r="C15" s="14">
        <v>1.6039999999999999E-2</v>
      </c>
      <c r="D15" s="14">
        <v>988.4</v>
      </c>
      <c r="E15" s="5">
        <v>34.090000000000003</v>
      </c>
      <c r="F15" s="11">
        <v>1032.4000000000001</v>
      </c>
      <c r="G15" s="5">
        <v>34.090000000000003</v>
      </c>
      <c r="H15" s="11">
        <v>1056.2</v>
      </c>
      <c r="I15" s="11">
        <v>1090.3</v>
      </c>
      <c r="J15" s="14">
        <v>6.7040000000000002E-2</v>
      </c>
      <c r="K15" s="14">
        <v>2.0760999999999998</v>
      </c>
      <c r="L15">
        <v>66</v>
      </c>
    </row>
    <row r="16" spans="1:12" x14ac:dyDescent="0.2">
      <c r="A16">
        <v>68</v>
      </c>
      <c r="B16" s="8">
        <v>0.33910000000000001</v>
      </c>
      <c r="C16" s="14">
        <v>1.6049999999999998E-2</v>
      </c>
      <c r="D16" s="14">
        <v>925.8</v>
      </c>
      <c r="E16" s="5">
        <v>36.090000000000003</v>
      </c>
      <c r="F16" s="11">
        <v>1033.0999999999999</v>
      </c>
      <c r="G16" s="5">
        <v>36.090000000000003</v>
      </c>
      <c r="H16" s="11">
        <v>1055.0999999999999</v>
      </c>
      <c r="I16" s="11">
        <v>1091.2</v>
      </c>
      <c r="J16" s="14">
        <v>7.084E-2</v>
      </c>
      <c r="K16" s="14">
        <v>2.0701000000000001</v>
      </c>
      <c r="L16">
        <v>68</v>
      </c>
    </row>
    <row r="17" spans="1:12" x14ac:dyDescent="0.2">
      <c r="A17">
        <v>70</v>
      </c>
      <c r="B17" s="8">
        <v>0.36320000000000002</v>
      </c>
      <c r="C17" s="14">
        <v>1.6049999999999998E-2</v>
      </c>
      <c r="D17" s="14">
        <v>867.7</v>
      </c>
      <c r="E17" s="5">
        <v>38.090000000000003</v>
      </c>
      <c r="F17" s="11">
        <v>1033.7</v>
      </c>
      <c r="G17" s="5">
        <v>38.090000000000003</v>
      </c>
      <c r="H17" s="11">
        <v>1054</v>
      </c>
      <c r="I17" s="11">
        <v>1092</v>
      </c>
      <c r="J17" s="14">
        <v>7.4630000000000002E-2</v>
      </c>
      <c r="K17" s="14">
        <v>2.0642</v>
      </c>
      <c r="L17">
        <v>70</v>
      </c>
    </row>
    <row r="18" spans="1:12" x14ac:dyDescent="0.2">
      <c r="A18">
        <v>72</v>
      </c>
      <c r="B18" s="8">
        <v>0.38869999999999999</v>
      </c>
      <c r="C18" s="14">
        <v>1.6060000000000001E-2</v>
      </c>
      <c r="D18" s="14">
        <v>813.7</v>
      </c>
      <c r="E18" s="5">
        <v>40.090000000000003</v>
      </c>
      <c r="F18" s="11">
        <v>1034.4000000000001</v>
      </c>
      <c r="G18" s="5">
        <v>40.090000000000003</v>
      </c>
      <c r="H18" s="11">
        <v>1052.8</v>
      </c>
      <c r="I18" s="11">
        <v>1092.9000000000001</v>
      </c>
      <c r="J18" s="14">
        <v>7.8390000000000001E-2</v>
      </c>
      <c r="K18" s="14">
        <v>2.0583999999999998</v>
      </c>
      <c r="L18">
        <v>72</v>
      </c>
    </row>
    <row r="19" spans="1:12" x14ac:dyDescent="0.2">
      <c r="A19">
        <v>74</v>
      </c>
      <c r="B19" s="8">
        <v>0.4158</v>
      </c>
      <c r="C19" s="14">
        <v>1.6060000000000001E-2</v>
      </c>
      <c r="D19" s="14">
        <v>763.5</v>
      </c>
      <c r="E19" s="5">
        <v>42.09</v>
      </c>
      <c r="F19" s="11">
        <v>1035</v>
      </c>
      <c r="G19" s="5">
        <v>42.09</v>
      </c>
      <c r="H19" s="11">
        <v>1051.7</v>
      </c>
      <c r="I19" s="11">
        <v>1093.8</v>
      </c>
      <c r="J19" s="14">
        <v>8.2150000000000001E-2</v>
      </c>
      <c r="K19" s="14">
        <v>2.0526</v>
      </c>
      <c r="L19">
        <v>74</v>
      </c>
    </row>
    <row r="20" spans="1:12" x14ac:dyDescent="0.2">
      <c r="A20">
        <v>76</v>
      </c>
      <c r="B20" s="8">
        <v>0.4446</v>
      </c>
      <c r="C20" s="14">
        <v>1.6060000000000001E-2</v>
      </c>
      <c r="D20" s="14">
        <v>716.8</v>
      </c>
      <c r="E20" s="5">
        <v>44.09</v>
      </c>
      <c r="F20" s="11">
        <v>1035.7</v>
      </c>
      <c r="G20" s="5">
        <v>44.09</v>
      </c>
      <c r="H20" s="11">
        <v>1050.5999999999999</v>
      </c>
      <c r="I20" s="11">
        <v>1094.7</v>
      </c>
      <c r="J20" s="14">
        <v>8.5889999999999994E-2</v>
      </c>
      <c r="K20" s="14">
        <v>2.0468999999999999</v>
      </c>
      <c r="L20">
        <v>76</v>
      </c>
    </row>
    <row r="21" spans="1:12" x14ac:dyDescent="0.2">
      <c r="A21">
        <v>78</v>
      </c>
      <c r="B21" s="8">
        <v>0.47499999999999998</v>
      </c>
      <c r="C21" s="14">
        <v>1.6070000000000001E-2</v>
      </c>
      <c r="D21" s="14">
        <v>673.3</v>
      </c>
      <c r="E21" s="5">
        <v>46.09</v>
      </c>
      <c r="F21" s="11">
        <v>1036.3</v>
      </c>
      <c r="G21" s="5">
        <v>46.09</v>
      </c>
      <c r="H21" s="11">
        <v>1049.4000000000001</v>
      </c>
      <c r="I21" s="11">
        <v>1095.5</v>
      </c>
      <c r="J21" s="14">
        <v>8.9609999999999995E-2</v>
      </c>
      <c r="K21" s="14">
        <v>2.0411999999999999</v>
      </c>
      <c r="L21">
        <v>78</v>
      </c>
    </row>
    <row r="22" spans="1:12" x14ac:dyDescent="0.2">
      <c r="A22">
        <v>80</v>
      </c>
      <c r="B22" s="8">
        <v>0.50729999999999997</v>
      </c>
      <c r="C22" s="14">
        <v>1.6070000000000001E-2</v>
      </c>
      <c r="D22" s="14">
        <v>632.79999999999995</v>
      </c>
      <c r="E22" s="5">
        <v>48.08</v>
      </c>
      <c r="F22" s="11">
        <v>1037</v>
      </c>
      <c r="G22" s="5">
        <v>48.09</v>
      </c>
      <c r="H22" s="11">
        <v>1048.3</v>
      </c>
      <c r="I22" s="11">
        <v>1096.4000000000001</v>
      </c>
      <c r="J22" s="14">
        <v>9.332E-2</v>
      </c>
      <c r="K22" s="14">
        <v>2.0356000000000001</v>
      </c>
      <c r="L22">
        <v>80</v>
      </c>
    </row>
    <row r="23" spans="1:12" x14ac:dyDescent="0.2">
      <c r="A23">
        <v>82</v>
      </c>
      <c r="B23" s="8">
        <v>0.54139999999999999</v>
      </c>
      <c r="C23" s="14">
        <v>1.6080000000000001E-2</v>
      </c>
      <c r="D23" s="14">
        <v>595</v>
      </c>
      <c r="E23" s="5">
        <v>50.08</v>
      </c>
      <c r="F23" s="11">
        <v>1037.5999999999999</v>
      </c>
      <c r="G23" s="5">
        <v>50.08</v>
      </c>
      <c r="H23" s="11">
        <v>1047.2</v>
      </c>
      <c r="I23" s="11">
        <v>1097.3</v>
      </c>
      <c r="J23" s="14">
        <v>9.7009999999999999E-2</v>
      </c>
      <c r="K23" s="14">
        <v>2.0299999999999998</v>
      </c>
      <c r="L23">
        <v>82</v>
      </c>
    </row>
    <row r="24" spans="1:12" x14ac:dyDescent="0.2">
      <c r="A24">
        <v>84</v>
      </c>
      <c r="B24" s="8">
        <v>0.5776</v>
      </c>
      <c r="C24" s="14">
        <v>1.6080000000000001E-2</v>
      </c>
      <c r="D24" s="14">
        <v>559.79999999999995</v>
      </c>
      <c r="E24" s="5">
        <v>52.08</v>
      </c>
      <c r="F24" s="11">
        <v>1038.3</v>
      </c>
      <c r="G24" s="5">
        <v>52.08</v>
      </c>
      <c r="H24" s="11">
        <v>1046</v>
      </c>
      <c r="I24" s="11">
        <v>1098.0999999999999</v>
      </c>
      <c r="J24" s="14">
        <v>0.1007</v>
      </c>
      <c r="K24" s="14">
        <v>2.0245000000000002</v>
      </c>
      <c r="L24">
        <v>84</v>
      </c>
    </row>
    <row r="25" spans="1:12" x14ac:dyDescent="0.2">
      <c r="A25">
        <v>86</v>
      </c>
      <c r="B25" s="8">
        <v>0.61580000000000001</v>
      </c>
      <c r="C25" s="14">
        <v>1.609E-2</v>
      </c>
      <c r="D25" s="14">
        <v>527</v>
      </c>
      <c r="E25" s="5">
        <v>54.08</v>
      </c>
      <c r="F25" s="11">
        <v>1038.9000000000001</v>
      </c>
      <c r="G25" s="5">
        <v>54.08</v>
      </c>
      <c r="H25" s="11">
        <v>1044.9000000000001</v>
      </c>
      <c r="I25" s="11">
        <v>1099</v>
      </c>
      <c r="J25" s="14">
        <v>0.10440000000000001</v>
      </c>
      <c r="K25" s="14">
        <v>2.0190000000000001</v>
      </c>
      <c r="L25">
        <v>86</v>
      </c>
    </row>
    <row r="26" spans="1:12" x14ac:dyDescent="0.2">
      <c r="A26">
        <v>88</v>
      </c>
      <c r="B26" s="8">
        <v>0.65620000000000001</v>
      </c>
      <c r="C26" s="14">
        <v>1.609E-2</v>
      </c>
      <c r="D26" s="14">
        <v>496.3</v>
      </c>
      <c r="E26" s="5">
        <v>56.07</v>
      </c>
      <c r="F26" s="11">
        <v>1039.5999999999999</v>
      </c>
      <c r="G26" s="5">
        <v>56.07</v>
      </c>
      <c r="H26" s="11">
        <v>1043.8</v>
      </c>
      <c r="I26" s="11">
        <v>1099.9000000000001</v>
      </c>
      <c r="J26" s="14">
        <v>0.108</v>
      </c>
      <c r="K26" s="14">
        <v>2.0135999999999998</v>
      </c>
      <c r="L26">
        <v>88</v>
      </c>
    </row>
    <row r="27" spans="1:12" x14ac:dyDescent="0.2">
      <c r="A27">
        <v>90</v>
      </c>
      <c r="B27" s="8">
        <v>0.69879999999999998</v>
      </c>
      <c r="C27" s="14">
        <v>1.61E-2</v>
      </c>
      <c r="D27" s="14">
        <v>467.7</v>
      </c>
      <c r="E27" s="5">
        <v>58.07</v>
      </c>
      <c r="F27" s="11">
        <v>1040.2</v>
      </c>
      <c r="G27" s="5">
        <v>58.07</v>
      </c>
      <c r="H27" s="11">
        <v>1042.7</v>
      </c>
      <c r="I27" s="11">
        <v>1100.7</v>
      </c>
      <c r="J27" s="14">
        <v>0.11169999999999999</v>
      </c>
      <c r="K27" s="14">
        <v>2.0083000000000002</v>
      </c>
      <c r="L27">
        <v>90</v>
      </c>
    </row>
    <row r="28" spans="1:12" x14ac:dyDescent="0.2">
      <c r="A28">
        <v>92</v>
      </c>
      <c r="B28" s="8">
        <v>0.74390000000000001</v>
      </c>
      <c r="C28" s="14">
        <v>1.6109999999999999E-2</v>
      </c>
      <c r="D28" s="14">
        <v>440.9</v>
      </c>
      <c r="E28" s="5">
        <v>60.06</v>
      </c>
      <c r="F28" s="11">
        <v>1040.9000000000001</v>
      </c>
      <c r="G28" s="5">
        <v>60.06</v>
      </c>
      <c r="H28" s="11">
        <v>1041.5</v>
      </c>
      <c r="I28" s="11">
        <v>1101.5999999999999</v>
      </c>
      <c r="J28" s="14">
        <v>0.1153</v>
      </c>
      <c r="K28" s="14">
        <v>2.0030000000000001</v>
      </c>
      <c r="L28">
        <v>92</v>
      </c>
    </row>
    <row r="29" spans="1:12" x14ac:dyDescent="0.2">
      <c r="A29">
        <v>94</v>
      </c>
      <c r="B29" s="8">
        <v>0.79139999999999999</v>
      </c>
      <c r="C29" s="14">
        <v>1.6109999999999999E-2</v>
      </c>
      <c r="D29" s="14">
        <v>415.9</v>
      </c>
      <c r="E29" s="5">
        <v>62.06</v>
      </c>
      <c r="F29" s="11">
        <v>1041.5</v>
      </c>
      <c r="G29" s="5">
        <v>62.06</v>
      </c>
      <c r="H29" s="11">
        <v>1040.4000000000001</v>
      </c>
      <c r="I29" s="11">
        <v>1102.4000000000001</v>
      </c>
      <c r="J29" s="14">
        <v>0.11890000000000001</v>
      </c>
      <c r="K29" s="14">
        <v>1.9977</v>
      </c>
      <c r="L29">
        <v>94</v>
      </c>
    </row>
    <row r="30" spans="1:12" x14ac:dyDescent="0.2">
      <c r="A30">
        <v>96</v>
      </c>
      <c r="B30" s="8">
        <v>0.84160000000000001</v>
      </c>
      <c r="C30" s="14">
        <v>1.6119999999999999E-2</v>
      </c>
      <c r="D30" s="14">
        <v>392.4</v>
      </c>
      <c r="E30" s="5">
        <v>64.05</v>
      </c>
      <c r="F30" s="11">
        <v>1041.2</v>
      </c>
      <c r="G30" s="5">
        <v>64.06</v>
      </c>
      <c r="H30" s="11">
        <v>1039.2</v>
      </c>
      <c r="I30" s="11">
        <v>1103.3</v>
      </c>
      <c r="J30" s="14">
        <v>0.1225</v>
      </c>
      <c r="K30" s="14">
        <v>1.9924999999999999</v>
      </c>
      <c r="L30">
        <v>96</v>
      </c>
    </row>
    <row r="31" spans="1:12" x14ac:dyDescent="0.2">
      <c r="A31">
        <v>98</v>
      </c>
      <c r="B31" s="8">
        <v>0.89449999999999996</v>
      </c>
      <c r="C31" s="14">
        <v>1.6119999999999999E-2</v>
      </c>
      <c r="D31" s="14">
        <v>370.5</v>
      </c>
      <c r="E31" s="5">
        <v>66.05</v>
      </c>
      <c r="F31" s="11">
        <v>1042.8</v>
      </c>
      <c r="G31" s="5">
        <v>66.05</v>
      </c>
      <c r="H31" s="11">
        <v>1038.0999999999999</v>
      </c>
      <c r="I31" s="11">
        <v>1104.2</v>
      </c>
      <c r="J31" s="14">
        <v>0.12609999999999999</v>
      </c>
      <c r="K31" s="14">
        <v>1.9874000000000001</v>
      </c>
      <c r="L31">
        <v>98</v>
      </c>
    </row>
    <row r="32" spans="1:12" x14ac:dyDescent="0.2">
      <c r="A32">
        <v>100</v>
      </c>
      <c r="B32" s="8">
        <v>0.95030000000000003</v>
      </c>
      <c r="C32" s="14">
        <v>1.6129999999999999E-2</v>
      </c>
      <c r="D32" s="14">
        <v>350</v>
      </c>
      <c r="E32" s="5">
        <v>68.040000000000006</v>
      </c>
      <c r="F32" s="11">
        <v>1043.5</v>
      </c>
      <c r="G32" s="5">
        <v>68.05</v>
      </c>
      <c r="H32" s="11">
        <v>1037</v>
      </c>
      <c r="I32" s="11">
        <v>1105</v>
      </c>
      <c r="J32" s="14">
        <v>0.12959999999999999</v>
      </c>
      <c r="K32" s="14">
        <v>1.9822</v>
      </c>
      <c r="L32">
        <v>100</v>
      </c>
    </row>
    <row r="33" spans="1:12" x14ac:dyDescent="0.2">
      <c r="A33">
        <v>110</v>
      </c>
      <c r="B33" s="8">
        <v>1.276</v>
      </c>
      <c r="C33" s="14">
        <v>1.617E-2</v>
      </c>
      <c r="D33" s="14">
        <v>265.10000000000002</v>
      </c>
      <c r="E33" s="5">
        <v>78.02</v>
      </c>
      <c r="F33" s="11">
        <v>1046.7</v>
      </c>
      <c r="G33" s="5">
        <v>78.02</v>
      </c>
      <c r="H33" s="11">
        <v>1031.3</v>
      </c>
      <c r="I33" s="11">
        <v>1109.3</v>
      </c>
      <c r="J33" s="14">
        <v>0.14729999999999999</v>
      </c>
      <c r="K33" s="14">
        <v>1.9574</v>
      </c>
      <c r="L33">
        <v>110</v>
      </c>
    </row>
    <row r="34" spans="1:12" x14ac:dyDescent="0.2">
      <c r="A34">
        <v>120</v>
      </c>
      <c r="B34" s="8">
        <v>1.6950000000000001</v>
      </c>
      <c r="C34" s="14">
        <v>1.6209999999999999E-2</v>
      </c>
      <c r="D34" s="14">
        <v>203</v>
      </c>
      <c r="E34" s="5">
        <v>87.99</v>
      </c>
      <c r="F34" s="11">
        <v>1049.9000000000001</v>
      </c>
      <c r="G34" s="5">
        <v>88</v>
      </c>
      <c r="H34" s="11">
        <v>1025.5</v>
      </c>
      <c r="I34" s="11">
        <v>1113.5</v>
      </c>
      <c r="J34" s="14">
        <v>0.16470000000000001</v>
      </c>
      <c r="K34" s="14">
        <v>1.9336</v>
      </c>
      <c r="L34">
        <v>120</v>
      </c>
    </row>
    <row r="35" spans="1:12" x14ac:dyDescent="0.2">
      <c r="A35">
        <v>130</v>
      </c>
      <c r="B35" s="8">
        <v>2.2250000000000001</v>
      </c>
      <c r="C35" s="14">
        <v>1.6250000000000001E-2</v>
      </c>
      <c r="D35" s="14">
        <v>157.19999999999999</v>
      </c>
      <c r="E35" s="5">
        <v>97.97</v>
      </c>
      <c r="F35" s="11">
        <v>1053</v>
      </c>
      <c r="G35" s="5">
        <v>97.98</v>
      </c>
      <c r="H35" s="11">
        <v>1019.8</v>
      </c>
      <c r="I35" s="11">
        <v>1117.8</v>
      </c>
      <c r="J35" s="14">
        <v>0.1817</v>
      </c>
      <c r="K35" s="14">
        <v>1.9109</v>
      </c>
      <c r="L35">
        <v>130</v>
      </c>
    </row>
    <row r="36" spans="1:12" x14ac:dyDescent="0.2">
      <c r="A36">
        <v>140</v>
      </c>
      <c r="B36" s="8">
        <v>2.8919999999999999</v>
      </c>
      <c r="C36" s="14">
        <v>1.6289999999999999E-2</v>
      </c>
      <c r="D36" s="14">
        <v>122.9</v>
      </c>
      <c r="E36" s="5">
        <v>107.95</v>
      </c>
      <c r="F36" s="11">
        <v>1056.2</v>
      </c>
      <c r="G36" s="5">
        <v>107.96</v>
      </c>
      <c r="H36" s="11">
        <v>1014</v>
      </c>
      <c r="I36" s="11">
        <v>1121.9000000000001</v>
      </c>
      <c r="J36" s="14">
        <v>0.19850000000000001</v>
      </c>
      <c r="K36" s="14">
        <v>1.8892</v>
      </c>
      <c r="L36">
        <v>140</v>
      </c>
    </row>
    <row r="37" spans="1:12" x14ac:dyDescent="0.2">
      <c r="A37">
        <v>150</v>
      </c>
      <c r="B37" s="8">
        <v>3.722</v>
      </c>
      <c r="C37" s="14">
        <v>1.634E-2</v>
      </c>
      <c r="D37" s="14">
        <v>97</v>
      </c>
      <c r="E37" s="5">
        <v>117.95</v>
      </c>
      <c r="F37" s="11">
        <v>1059.3</v>
      </c>
      <c r="G37" s="5">
        <v>117.96</v>
      </c>
      <c r="H37" s="11">
        <v>1008.1</v>
      </c>
      <c r="I37" s="11">
        <v>1126.0999999999999</v>
      </c>
      <c r="J37" s="14">
        <v>0.215</v>
      </c>
      <c r="K37" s="14">
        <v>1.8684000000000001</v>
      </c>
      <c r="L37">
        <v>150</v>
      </c>
    </row>
    <row r="38" spans="1:12" x14ac:dyDescent="0.2">
      <c r="A38">
        <v>160</v>
      </c>
      <c r="B38" s="8">
        <v>4.7450000000000001</v>
      </c>
      <c r="C38" s="14">
        <v>1.6400000000000001E-2</v>
      </c>
      <c r="D38" s="14">
        <v>77.2</v>
      </c>
      <c r="E38" s="5">
        <v>127.94</v>
      </c>
      <c r="F38" s="11">
        <v>1062.3</v>
      </c>
      <c r="G38" s="5">
        <v>127.96</v>
      </c>
      <c r="H38" s="11">
        <v>1002.2</v>
      </c>
      <c r="I38" s="11">
        <v>1130.0999999999999</v>
      </c>
      <c r="J38" s="14">
        <v>0.23130000000000001</v>
      </c>
      <c r="K38" s="14">
        <v>1.8484</v>
      </c>
      <c r="L38">
        <v>160</v>
      </c>
    </row>
    <row r="39" spans="1:12" x14ac:dyDescent="0.2">
      <c r="A39">
        <v>170</v>
      </c>
      <c r="B39" s="8">
        <v>5.9960000000000004</v>
      </c>
      <c r="C39" s="14">
        <v>1.6449999999999999E-2</v>
      </c>
      <c r="D39" s="14">
        <v>62</v>
      </c>
      <c r="E39" s="5">
        <v>137.94999999999999</v>
      </c>
      <c r="F39" s="11">
        <v>1065.4000000000001</v>
      </c>
      <c r="G39" s="5">
        <v>137.97</v>
      </c>
      <c r="H39" s="11">
        <v>996.2</v>
      </c>
      <c r="I39" s="11">
        <v>1134.2</v>
      </c>
      <c r="J39" s="14">
        <v>0.24729999999999999</v>
      </c>
      <c r="K39" s="14">
        <v>1.8292999999999999</v>
      </c>
      <c r="L39">
        <v>170</v>
      </c>
    </row>
    <row r="40" spans="1:12" x14ac:dyDescent="0.2">
      <c r="A40">
        <v>180</v>
      </c>
      <c r="B40" s="8">
        <v>7.5149999999999997</v>
      </c>
      <c r="C40" s="14">
        <v>1.651E-2</v>
      </c>
      <c r="D40" s="14">
        <v>50.2</v>
      </c>
      <c r="E40" s="5">
        <v>147.97</v>
      </c>
      <c r="F40" s="11">
        <v>1068.3</v>
      </c>
      <c r="G40" s="5">
        <v>147.99</v>
      </c>
      <c r="H40" s="11">
        <v>990.2</v>
      </c>
      <c r="I40" s="11">
        <v>1138.2</v>
      </c>
      <c r="J40" s="14">
        <v>0.2631</v>
      </c>
      <c r="K40" s="14">
        <v>1.8109</v>
      </c>
      <c r="L40">
        <v>180</v>
      </c>
    </row>
    <row r="41" spans="1:12" x14ac:dyDescent="0.2">
      <c r="A41">
        <v>190</v>
      </c>
      <c r="B41" s="8">
        <v>9.343</v>
      </c>
      <c r="C41" s="14">
        <v>1.6570000000000001E-2</v>
      </c>
      <c r="D41" s="14">
        <v>41</v>
      </c>
      <c r="E41" s="5">
        <v>158</v>
      </c>
      <c r="F41" s="11">
        <v>1071.3</v>
      </c>
      <c r="G41" s="5">
        <v>158.03</v>
      </c>
      <c r="H41" s="11">
        <v>984.1</v>
      </c>
      <c r="I41" s="11">
        <v>1142.0999999999999</v>
      </c>
      <c r="J41" s="14">
        <v>0.2787</v>
      </c>
      <c r="K41" s="14">
        <v>1.7931999999999999</v>
      </c>
      <c r="L41">
        <v>190</v>
      </c>
    </row>
    <row r="42" spans="1:12" x14ac:dyDescent="0.2">
      <c r="A42">
        <v>200</v>
      </c>
      <c r="B42" s="8">
        <v>11.529</v>
      </c>
      <c r="C42" s="14">
        <v>1.6629999999999999E-2</v>
      </c>
      <c r="D42" s="14">
        <v>33.6</v>
      </c>
      <c r="E42" s="5">
        <v>168.04</v>
      </c>
      <c r="F42" s="11">
        <v>1074.2</v>
      </c>
      <c r="G42" s="5">
        <v>168.07</v>
      </c>
      <c r="H42" s="11">
        <v>977.9</v>
      </c>
      <c r="I42" s="11">
        <v>1145.9000000000001</v>
      </c>
      <c r="J42" s="14">
        <v>0.29399999999999998</v>
      </c>
      <c r="K42" s="14">
        <v>1.7762</v>
      </c>
      <c r="L42">
        <v>200</v>
      </c>
    </row>
    <row r="43" spans="1:12" x14ac:dyDescent="0.2">
      <c r="A43">
        <v>210</v>
      </c>
      <c r="B43" s="8">
        <v>14.13</v>
      </c>
      <c r="C43" s="14">
        <v>1.67E-2</v>
      </c>
      <c r="D43" s="14">
        <v>27.82</v>
      </c>
      <c r="E43" s="5">
        <v>178.1</v>
      </c>
      <c r="F43" s="11">
        <v>1077</v>
      </c>
      <c r="G43" s="5">
        <v>178.1</v>
      </c>
      <c r="H43" s="11">
        <v>971.6</v>
      </c>
      <c r="I43" s="11">
        <v>1149.7</v>
      </c>
      <c r="J43" s="14">
        <v>0.30909999999999999</v>
      </c>
      <c r="K43" s="14">
        <v>1.7599</v>
      </c>
      <c r="L43">
        <v>210</v>
      </c>
    </row>
    <row r="44" spans="1:12" x14ac:dyDescent="0.2">
      <c r="A44">
        <v>212</v>
      </c>
      <c r="B44" s="8">
        <v>14.7</v>
      </c>
      <c r="C44" s="14">
        <v>1.6719999999999999E-2</v>
      </c>
      <c r="D44" s="14">
        <v>26.8</v>
      </c>
      <c r="E44" s="5">
        <v>180.1</v>
      </c>
      <c r="F44" s="11">
        <v>1077.5999999999999</v>
      </c>
      <c r="G44" s="5">
        <v>180.2</v>
      </c>
      <c r="H44" s="11">
        <v>970.3</v>
      </c>
      <c r="I44" s="11">
        <v>1150.5</v>
      </c>
      <c r="J44" s="14">
        <v>0.31209999999999999</v>
      </c>
      <c r="K44" s="14">
        <v>1.7566999999999999</v>
      </c>
      <c r="L44">
        <v>212</v>
      </c>
    </row>
    <row r="45" spans="1:12" x14ac:dyDescent="0.2">
      <c r="A45">
        <v>220</v>
      </c>
      <c r="B45" s="8">
        <v>17.190000000000001</v>
      </c>
      <c r="C45" s="14">
        <v>1.677E-2</v>
      </c>
      <c r="D45" s="14">
        <v>23.15</v>
      </c>
      <c r="E45" s="5">
        <v>188.2</v>
      </c>
      <c r="F45" s="11">
        <v>1079.8</v>
      </c>
      <c r="G45" s="5">
        <v>188.2</v>
      </c>
      <c r="H45" s="11">
        <v>965.3</v>
      </c>
      <c r="I45" s="11">
        <v>1153.5</v>
      </c>
      <c r="J45" s="14">
        <v>0.3241</v>
      </c>
      <c r="K45" s="14">
        <v>1.7441</v>
      </c>
      <c r="L45">
        <v>220</v>
      </c>
    </row>
    <row r="46" spans="1:12" x14ac:dyDescent="0.2">
      <c r="A46">
        <v>230</v>
      </c>
      <c r="B46" s="8">
        <v>20.78</v>
      </c>
      <c r="C46" s="14">
        <v>1.685E-2</v>
      </c>
      <c r="D46" s="14">
        <v>19.39</v>
      </c>
      <c r="E46" s="5">
        <v>198.3</v>
      </c>
      <c r="F46" s="11">
        <v>1082.5999999999999</v>
      </c>
      <c r="G46" s="5">
        <v>198.3</v>
      </c>
      <c r="H46" s="11">
        <v>958.8</v>
      </c>
      <c r="I46" s="11">
        <v>1157.0999999999999</v>
      </c>
      <c r="J46" s="14">
        <v>0.33879999999999999</v>
      </c>
      <c r="K46" s="14">
        <v>1.7289000000000001</v>
      </c>
      <c r="L46">
        <v>230</v>
      </c>
    </row>
    <row r="47" spans="1:12" x14ac:dyDescent="0.2">
      <c r="A47">
        <v>240</v>
      </c>
      <c r="B47" s="8">
        <v>24.97</v>
      </c>
      <c r="C47" s="14">
        <v>1.6920000000000001E-2</v>
      </c>
      <c r="D47" s="14">
        <v>16.329999999999998</v>
      </c>
      <c r="E47" s="5">
        <v>208.4</v>
      </c>
      <c r="F47" s="11">
        <v>1085.3</v>
      </c>
      <c r="G47" s="5">
        <v>208.4</v>
      </c>
      <c r="H47" s="11">
        <v>952.3</v>
      </c>
      <c r="I47" s="11">
        <v>1160.7</v>
      </c>
      <c r="J47" s="14">
        <v>0.35339999999999999</v>
      </c>
      <c r="K47" s="14">
        <v>1.7142999999999999</v>
      </c>
      <c r="L47">
        <v>240</v>
      </c>
    </row>
    <row r="48" spans="1:12" x14ac:dyDescent="0.2">
      <c r="A48">
        <v>250</v>
      </c>
      <c r="B48" s="8">
        <v>29.82</v>
      </c>
      <c r="C48" s="14">
        <v>1.7000000000000001E-2</v>
      </c>
      <c r="D48" s="14">
        <v>13.83</v>
      </c>
      <c r="E48" s="5">
        <v>218.5</v>
      </c>
      <c r="F48" s="11">
        <v>1087.9000000000001</v>
      </c>
      <c r="G48" s="5">
        <v>218.6</v>
      </c>
      <c r="H48" s="11">
        <v>945.6</v>
      </c>
      <c r="I48" s="11">
        <v>1164.2</v>
      </c>
      <c r="J48" s="14">
        <v>0.36770000000000003</v>
      </c>
      <c r="K48" s="14">
        <v>1.7000999999999999</v>
      </c>
      <c r="L48">
        <v>250</v>
      </c>
    </row>
    <row r="49" spans="1:12" x14ac:dyDescent="0.2">
      <c r="A49">
        <v>260</v>
      </c>
      <c r="B49" s="8">
        <v>35.42</v>
      </c>
      <c r="C49" s="14">
        <v>1.7080000000000001E-2</v>
      </c>
      <c r="D49" s="14">
        <v>11.77</v>
      </c>
      <c r="E49" s="5">
        <v>228.6</v>
      </c>
      <c r="F49" s="11">
        <v>1090.5</v>
      </c>
      <c r="G49" s="5">
        <v>228.8</v>
      </c>
      <c r="H49" s="11">
        <v>938.8</v>
      </c>
      <c r="I49" s="11">
        <v>1167.5999999999999</v>
      </c>
      <c r="J49" s="14">
        <v>0.38190000000000002</v>
      </c>
      <c r="K49" s="14">
        <v>1.6863999999999999</v>
      </c>
      <c r="L49">
        <v>260</v>
      </c>
    </row>
    <row r="50" spans="1:12" x14ac:dyDescent="0.2">
      <c r="A50">
        <v>270</v>
      </c>
      <c r="B50" s="8">
        <v>41.85</v>
      </c>
      <c r="C50" s="14">
        <v>1.7170000000000001E-2</v>
      </c>
      <c r="D50" s="14">
        <v>10.07</v>
      </c>
      <c r="E50" s="5">
        <v>238.8</v>
      </c>
      <c r="F50" s="11">
        <v>1093</v>
      </c>
      <c r="G50" s="5">
        <v>239</v>
      </c>
      <c r="H50" s="11">
        <v>932</v>
      </c>
      <c r="I50" s="11">
        <v>1170.9000000000001</v>
      </c>
      <c r="J50" s="14">
        <v>0.39600000000000002</v>
      </c>
      <c r="K50" s="14">
        <v>1.6731</v>
      </c>
      <c r="L50">
        <v>270</v>
      </c>
    </row>
    <row r="51" spans="1:12" x14ac:dyDescent="0.2">
      <c r="A51">
        <v>280</v>
      </c>
      <c r="B51" s="8">
        <v>49.18</v>
      </c>
      <c r="C51" s="14">
        <v>1.7260000000000001E-2</v>
      </c>
      <c r="D51" s="14">
        <v>8.65</v>
      </c>
      <c r="E51" s="5">
        <v>249</v>
      </c>
      <c r="F51" s="11">
        <v>1095.4000000000001</v>
      </c>
      <c r="G51" s="5">
        <v>249.2</v>
      </c>
      <c r="H51" s="11">
        <v>924.9</v>
      </c>
      <c r="I51" s="11">
        <v>1174.0999999999999</v>
      </c>
      <c r="J51" s="14">
        <v>0.40989999999999999</v>
      </c>
      <c r="K51" s="14">
        <v>1.6601999999999999</v>
      </c>
      <c r="L51">
        <v>280</v>
      </c>
    </row>
    <row r="52" spans="1:12" x14ac:dyDescent="0.2">
      <c r="A52">
        <v>290</v>
      </c>
      <c r="B52" s="8">
        <v>57.53</v>
      </c>
      <c r="C52" s="14">
        <v>1.7350000000000001E-2</v>
      </c>
      <c r="D52" s="14">
        <v>7.47</v>
      </c>
      <c r="E52" s="5">
        <v>259.3</v>
      </c>
      <c r="F52" s="11">
        <v>1097.7</v>
      </c>
      <c r="G52" s="5">
        <v>259.39999999999998</v>
      </c>
      <c r="H52" s="11">
        <v>917.8</v>
      </c>
      <c r="I52" s="11">
        <v>1177.2</v>
      </c>
      <c r="J52" s="14">
        <v>0.42359999999999998</v>
      </c>
      <c r="K52" s="14">
        <v>1.6476999999999999</v>
      </c>
      <c r="L52">
        <v>290</v>
      </c>
    </row>
    <row r="53" spans="1:12" x14ac:dyDescent="0.2">
      <c r="A53">
        <v>300</v>
      </c>
      <c r="B53" s="8">
        <v>66.98</v>
      </c>
      <c r="C53" s="14">
        <v>1.745E-2</v>
      </c>
      <c r="D53" s="14">
        <v>6.4720000000000004</v>
      </c>
      <c r="E53" s="5">
        <v>269.5</v>
      </c>
      <c r="F53" s="11">
        <v>1100</v>
      </c>
      <c r="G53" s="5">
        <v>269.7</v>
      </c>
      <c r="H53" s="11">
        <v>910.4</v>
      </c>
      <c r="I53" s="11">
        <v>1180.2</v>
      </c>
      <c r="J53" s="14">
        <v>0.43719999999999998</v>
      </c>
      <c r="K53" s="14">
        <v>1.6355999999999999</v>
      </c>
      <c r="L53">
        <v>300</v>
      </c>
    </row>
    <row r="54" spans="1:12" x14ac:dyDescent="0.2">
      <c r="A54">
        <v>310</v>
      </c>
      <c r="B54" s="8">
        <v>77.64</v>
      </c>
      <c r="C54" s="14">
        <v>1.755E-2</v>
      </c>
      <c r="D54" s="14">
        <v>5.6319999999999997</v>
      </c>
      <c r="E54" s="5">
        <v>279.8</v>
      </c>
      <c r="F54" s="11">
        <v>1102.0999999999999</v>
      </c>
      <c r="G54" s="5">
        <v>280.10000000000002</v>
      </c>
      <c r="H54" s="11">
        <v>903</v>
      </c>
      <c r="I54" s="11">
        <v>1183</v>
      </c>
      <c r="J54" s="14">
        <v>0.45069999999999999</v>
      </c>
      <c r="K54" s="14">
        <v>1.6237999999999999</v>
      </c>
      <c r="L54">
        <v>310</v>
      </c>
    </row>
    <row r="55" spans="1:12" x14ac:dyDescent="0.2">
      <c r="A55">
        <v>320</v>
      </c>
      <c r="B55" s="8">
        <v>89.6</v>
      </c>
      <c r="C55" s="14">
        <v>1.7649999999999999E-2</v>
      </c>
      <c r="D55" s="14">
        <v>4.9189999999999996</v>
      </c>
      <c r="E55" s="5">
        <v>290.10000000000002</v>
      </c>
      <c r="F55" s="11">
        <v>1104.2</v>
      </c>
      <c r="G55" s="5">
        <v>290.39999999999998</v>
      </c>
      <c r="H55" s="11">
        <v>895.3</v>
      </c>
      <c r="I55" s="11">
        <v>1185.8</v>
      </c>
      <c r="J55" s="14">
        <v>0.46400000000000002</v>
      </c>
      <c r="K55" s="14">
        <v>1.6123000000000001</v>
      </c>
      <c r="L55">
        <v>320</v>
      </c>
    </row>
    <row r="56" spans="1:12" x14ac:dyDescent="0.2">
      <c r="A56">
        <v>330</v>
      </c>
      <c r="B56" s="8">
        <v>103</v>
      </c>
      <c r="C56" s="14">
        <v>1.7760000000000001E-2</v>
      </c>
      <c r="D56" s="14">
        <v>4.3120000000000003</v>
      </c>
      <c r="E56" s="5">
        <v>300.5</v>
      </c>
      <c r="F56" s="11">
        <v>1106.2</v>
      </c>
      <c r="G56" s="5">
        <v>300.8</v>
      </c>
      <c r="H56" s="11">
        <v>887.5</v>
      </c>
      <c r="I56" s="11">
        <v>1188.4000000000001</v>
      </c>
      <c r="J56" s="14">
        <v>0.47720000000000001</v>
      </c>
      <c r="K56" s="14">
        <v>1.601</v>
      </c>
      <c r="L56">
        <v>330</v>
      </c>
    </row>
    <row r="57" spans="1:12" x14ac:dyDescent="0.2">
      <c r="A57">
        <v>340</v>
      </c>
      <c r="B57" s="8">
        <v>117.93</v>
      </c>
      <c r="C57" s="14">
        <v>1.787E-2</v>
      </c>
      <c r="D57" s="14">
        <v>3.7919999999999998</v>
      </c>
      <c r="E57" s="5">
        <v>310.89999999999998</v>
      </c>
      <c r="F57" s="11">
        <v>1108</v>
      </c>
      <c r="G57" s="5">
        <v>311.3</v>
      </c>
      <c r="H57" s="11">
        <v>879.5</v>
      </c>
      <c r="I57" s="11">
        <v>1190.8</v>
      </c>
      <c r="J57" s="14">
        <v>0.49030000000000001</v>
      </c>
      <c r="K57" s="14">
        <v>1.5901000000000001</v>
      </c>
      <c r="L57">
        <v>340</v>
      </c>
    </row>
    <row r="58" spans="1:12" x14ac:dyDescent="0.2">
      <c r="A58">
        <v>350</v>
      </c>
      <c r="B58" s="8">
        <v>134.53</v>
      </c>
      <c r="C58" s="14">
        <v>1.7989999999999999E-2</v>
      </c>
      <c r="D58" s="14">
        <v>3.3460000000000001</v>
      </c>
      <c r="E58" s="5">
        <v>321.39999999999998</v>
      </c>
      <c r="F58" s="11">
        <v>1109.8</v>
      </c>
      <c r="G58" s="5">
        <v>321.8</v>
      </c>
      <c r="H58" s="11">
        <v>871.3</v>
      </c>
      <c r="I58" s="11">
        <v>1193.0999999999999</v>
      </c>
      <c r="J58" s="14">
        <v>0.50329999999999997</v>
      </c>
      <c r="K58" s="14">
        <v>1.5792999999999999</v>
      </c>
      <c r="L58">
        <v>350</v>
      </c>
    </row>
    <row r="59" spans="1:12" x14ac:dyDescent="0.2">
      <c r="A59">
        <v>360</v>
      </c>
      <c r="B59" s="8">
        <v>152.91999999999999</v>
      </c>
      <c r="C59" s="14">
        <v>1.8110000000000001E-2</v>
      </c>
      <c r="D59" s="14">
        <v>2.9609999999999999</v>
      </c>
      <c r="E59" s="5">
        <v>331.8</v>
      </c>
      <c r="F59" s="11">
        <v>1111.4000000000001</v>
      </c>
      <c r="G59" s="5">
        <v>332.4</v>
      </c>
      <c r="H59" s="11">
        <v>862.9</v>
      </c>
      <c r="I59" s="11">
        <v>1195.2</v>
      </c>
      <c r="J59" s="14">
        <v>0.51619999999999999</v>
      </c>
      <c r="K59" s="14">
        <v>1.5688</v>
      </c>
      <c r="L59">
        <v>360</v>
      </c>
    </row>
    <row r="60" spans="1:12" x14ac:dyDescent="0.2">
      <c r="A60">
        <v>370</v>
      </c>
      <c r="B60" s="8">
        <v>173.23</v>
      </c>
      <c r="C60" s="14">
        <v>1.823E-2</v>
      </c>
      <c r="D60" s="14">
        <v>2.6280000000000001</v>
      </c>
      <c r="E60" s="5">
        <v>342.4</v>
      </c>
      <c r="F60" s="11">
        <v>1112.9000000000001</v>
      </c>
      <c r="G60" s="5">
        <v>343</v>
      </c>
      <c r="H60" s="11">
        <v>854.2</v>
      </c>
      <c r="I60" s="11">
        <v>1197.2</v>
      </c>
      <c r="J60" s="14">
        <v>0.52890000000000004</v>
      </c>
      <c r="K60" s="14">
        <v>1.5585</v>
      </c>
      <c r="L60">
        <v>370</v>
      </c>
    </row>
    <row r="61" spans="1:12" x14ac:dyDescent="0.2">
      <c r="A61">
        <v>380</v>
      </c>
      <c r="B61" s="8">
        <v>195.6</v>
      </c>
      <c r="C61" s="14">
        <v>1.8360000000000001E-2</v>
      </c>
      <c r="D61" s="14">
        <v>2.339</v>
      </c>
      <c r="E61" s="5">
        <v>353</v>
      </c>
      <c r="F61" s="11">
        <v>1114.3</v>
      </c>
      <c r="G61" s="5">
        <v>353.6</v>
      </c>
      <c r="H61" s="11">
        <v>845.4</v>
      </c>
      <c r="I61" s="11">
        <v>1199</v>
      </c>
      <c r="J61" s="14">
        <v>0.54159999999999997</v>
      </c>
      <c r="K61" s="14">
        <v>1.5483</v>
      </c>
      <c r="L61">
        <v>380</v>
      </c>
    </row>
    <row r="62" spans="1:12" x14ac:dyDescent="0.2">
      <c r="A62">
        <v>390</v>
      </c>
      <c r="B62" s="8">
        <v>220.2</v>
      </c>
      <c r="C62" s="14">
        <v>1.8499999999999999E-2</v>
      </c>
      <c r="D62" s="14">
        <v>2.0870000000000002</v>
      </c>
      <c r="E62" s="5">
        <v>363.6</v>
      </c>
      <c r="F62" s="11">
        <v>1115.5999999999999</v>
      </c>
      <c r="G62" s="5">
        <v>364.3</v>
      </c>
      <c r="H62" s="11">
        <v>836.2</v>
      </c>
      <c r="I62" s="11">
        <v>1200.5999999999999</v>
      </c>
      <c r="J62" s="14">
        <v>0.55420000000000003</v>
      </c>
      <c r="K62" s="14">
        <v>1.5383</v>
      </c>
      <c r="L62">
        <v>390</v>
      </c>
    </row>
    <row r="63" spans="1:12" x14ac:dyDescent="0.2">
      <c r="A63">
        <v>400</v>
      </c>
      <c r="B63" s="8">
        <v>247.1</v>
      </c>
      <c r="C63" s="14">
        <v>1.864E-2</v>
      </c>
      <c r="D63" s="14">
        <v>1.8660000000000001</v>
      </c>
      <c r="E63" s="5">
        <v>374.3</v>
      </c>
      <c r="F63" s="11">
        <v>1116.5999999999999</v>
      </c>
      <c r="G63" s="5">
        <v>375.1</v>
      </c>
      <c r="H63" s="11">
        <v>826.8</v>
      </c>
      <c r="I63" s="11">
        <v>1202</v>
      </c>
      <c r="J63" s="14">
        <v>0.56669999999999998</v>
      </c>
      <c r="K63" s="14">
        <v>1.5284</v>
      </c>
      <c r="L63">
        <v>400</v>
      </c>
    </row>
    <row r="64" spans="1:12" x14ac:dyDescent="0.2">
      <c r="A64">
        <v>410</v>
      </c>
      <c r="B64" s="8">
        <v>276.5</v>
      </c>
      <c r="C64" s="14">
        <v>1.8780000000000002E-2</v>
      </c>
      <c r="D64" s="14">
        <v>1.673</v>
      </c>
      <c r="E64" s="5">
        <v>385</v>
      </c>
      <c r="F64" s="11">
        <v>1117.5999999999999</v>
      </c>
      <c r="G64" s="5">
        <v>386</v>
      </c>
      <c r="H64" s="11">
        <v>817.2</v>
      </c>
      <c r="I64" s="11">
        <v>1203.0999999999999</v>
      </c>
      <c r="J64" s="14">
        <v>0.57920000000000005</v>
      </c>
      <c r="K64" s="14">
        <v>1.5186999999999999</v>
      </c>
      <c r="L64">
        <v>410</v>
      </c>
    </row>
    <row r="65" spans="1:12" x14ac:dyDescent="0.2">
      <c r="A65">
        <v>420</v>
      </c>
      <c r="B65" s="8">
        <v>308.5</v>
      </c>
      <c r="C65" s="14">
        <v>1.8939999999999999E-2</v>
      </c>
      <c r="D65" s="14">
        <v>1.502</v>
      </c>
      <c r="E65" s="5">
        <v>395.8</v>
      </c>
      <c r="F65" s="11">
        <v>1118.3</v>
      </c>
      <c r="G65" s="5">
        <v>396.9</v>
      </c>
      <c r="H65" s="11">
        <v>807.2</v>
      </c>
      <c r="I65" s="11">
        <v>1204.0999999999999</v>
      </c>
      <c r="J65" s="14">
        <v>0.59150000000000003</v>
      </c>
      <c r="K65" s="14">
        <v>1.5091000000000001</v>
      </c>
      <c r="L65">
        <v>420</v>
      </c>
    </row>
    <row r="66" spans="1:12" x14ac:dyDescent="0.2">
      <c r="A66">
        <v>430</v>
      </c>
      <c r="B66" s="8">
        <v>343.3</v>
      </c>
      <c r="C66" s="14">
        <v>1.9089999999999999E-2</v>
      </c>
      <c r="D66" s="14">
        <v>1.3520000000000001</v>
      </c>
      <c r="E66" s="5">
        <v>406.7</v>
      </c>
      <c r="F66" s="11">
        <v>1118.9000000000001</v>
      </c>
      <c r="G66" s="5">
        <v>407.9</v>
      </c>
      <c r="H66" s="11">
        <v>796.9</v>
      </c>
      <c r="I66" s="11">
        <v>1204.8</v>
      </c>
      <c r="J66" s="14">
        <v>0.6038</v>
      </c>
      <c r="K66" s="14">
        <v>1.4995000000000001</v>
      </c>
      <c r="L66">
        <v>430</v>
      </c>
    </row>
    <row r="67" spans="1:12" x14ac:dyDescent="0.2">
      <c r="A67">
        <v>440</v>
      </c>
      <c r="B67" s="8">
        <v>381.2</v>
      </c>
      <c r="C67" s="14">
        <v>1.9259999999999999E-2</v>
      </c>
      <c r="D67" s="14">
        <v>1.2190000000000001</v>
      </c>
      <c r="E67" s="5">
        <v>417.6</v>
      </c>
      <c r="F67" s="11">
        <v>1119.3</v>
      </c>
      <c r="G67" s="5">
        <v>419</v>
      </c>
      <c r="H67" s="11">
        <v>786.3</v>
      </c>
      <c r="I67" s="11">
        <v>1205.3</v>
      </c>
      <c r="J67" s="14">
        <v>0.61609999999999998</v>
      </c>
      <c r="K67" s="14">
        <v>1.49</v>
      </c>
      <c r="L67">
        <v>440</v>
      </c>
    </row>
    <row r="68" spans="1:12" x14ac:dyDescent="0.2">
      <c r="A68">
        <v>450</v>
      </c>
      <c r="B68" s="8">
        <v>422.1</v>
      </c>
      <c r="C68" s="14">
        <v>1.9429999999999999E-2</v>
      </c>
      <c r="D68" s="14">
        <v>1.1011</v>
      </c>
      <c r="E68" s="5">
        <v>428.6</v>
      </c>
      <c r="F68" s="11">
        <v>1119.5</v>
      </c>
      <c r="G68" s="5">
        <v>430.2</v>
      </c>
      <c r="H68" s="11">
        <v>775.4</v>
      </c>
      <c r="I68" s="11">
        <v>1205.5999999999999</v>
      </c>
      <c r="J68" s="14">
        <v>0.62819999999999998</v>
      </c>
      <c r="K68" s="14">
        <v>1.4805999999999999</v>
      </c>
      <c r="L68">
        <v>450</v>
      </c>
    </row>
    <row r="69" spans="1:12" x14ac:dyDescent="0.2">
      <c r="A69">
        <v>460</v>
      </c>
      <c r="B69" s="8">
        <v>466.3</v>
      </c>
      <c r="C69" s="14">
        <v>1.9609999999999999E-2</v>
      </c>
      <c r="D69" s="14">
        <v>0.99609999999999999</v>
      </c>
      <c r="E69" s="5">
        <v>439.7</v>
      </c>
      <c r="F69" s="11">
        <v>1119.5999999999999</v>
      </c>
      <c r="G69" s="5">
        <v>441.4</v>
      </c>
      <c r="H69" s="11">
        <v>764.1</v>
      </c>
      <c r="I69" s="11">
        <v>1205.5</v>
      </c>
      <c r="J69" s="14">
        <v>0.64039999999999997</v>
      </c>
      <c r="K69" s="14">
        <v>1.4712000000000001</v>
      </c>
      <c r="L69">
        <v>460</v>
      </c>
    </row>
    <row r="70" spans="1:12" x14ac:dyDescent="0.2">
      <c r="A70">
        <v>470</v>
      </c>
      <c r="B70" s="8">
        <v>514.1</v>
      </c>
      <c r="C70" s="14">
        <v>1.9800000000000002E-2</v>
      </c>
      <c r="D70" s="14">
        <v>0.90249999999999997</v>
      </c>
      <c r="E70" s="5">
        <v>450.9</v>
      </c>
      <c r="F70" s="11">
        <v>1119.4000000000001</v>
      </c>
      <c r="G70" s="5">
        <v>452.8</v>
      </c>
      <c r="H70" s="11">
        <v>752.4</v>
      </c>
      <c r="I70" s="11">
        <v>1205.2</v>
      </c>
      <c r="J70" s="14">
        <v>0.65249999999999997</v>
      </c>
      <c r="K70" s="14">
        <v>1.4618</v>
      </c>
      <c r="L70">
        <v>470</v>
      </c>
    </row>
    <row r="71" spans="1:12" x14ac:dyDescent="0.2">
      <c r="A71">
        <v>480</v>
      </c>
      <c r="B71" s="8">
        <v>565.5</v>
      </c>
      <c r="C71" s="14">
        <v>0.02</v>
      </c>
      <c r="D71" s="14">
        <v>0.81869999999999998</v>
      </c>
      <c r="E71" s="5">
        <v>462.2</v>
      </c>
      <c r="F71" s="11">
        <v>1118.9000000000001</v>
      </c>
      <c r="G71" s="5">
        <v>464.3</v>
      </c>
      <c r="H71" s="11">
        <v>740.3</v>
      </c>
      <c r="I71" s="11">
        <v>1204.5999999999999</v>
      </c>
      <c r="J71" s="14">
        <v>0.66459999999999997</v>
      </c>
      <c r="K71" s="14">
        <v>1.4523999999999999</v>
      </c>
      <c r="L71">
        <v>480</v>
      </c>
    </row>
    <row r="72" spans="1:12" x14ac:dyDescent="0.2">
      <c r="A72">
        <v>490</v>
      </c>
      <c r="B72" s="8">
        <v>620.70000000000005</v>
      </c>
      <c r="C72" s="14">
        <v>2.0209999999999999E-2</v>
      </c>
      <c r="D72" s="14">
        <v>0.74360000000000004</v>
      </c>
      <c r="E72" s="5">
        <v>473.6</v>
      </c>
      <c r="F72" s="11">
        <v>1118.3</v>
      </c>
      <c r="G72" s="5">
        <v>475.9</v>
      </c>
      <c r="H72" s="11">
        <v>727.8</v>
      </c>
      <c r="I72" s="11">
        <v>1203.7</v>
      </c>
      <c r="J72" s="14">
        <v>0.67669999999999997</v>
      </c>
      <c r="K72" s="14">
        <v>1.4430000000000001</v>
      </c>
      <c r="L72">
        <v>490</v>
      </c>
    </row>
    <row r="73" spans="1:12" x14ac:dyDescent="0.2">
      <c r="A73">
        <v>500</v>
      </c>
      <c r="B73" s="8">
        <v>680</v>
      </c>
      <c r="C73" s="14">
        <v>2.043E-2</v>
      </c>
      <c r="D73" s="14">
        <v>0.67610000000000003</v>
      </c>
      <c r="E73" s="5">
        <v>485.1</v>
      </c>
      <c r="F73" s="11">
        <v>1117.4000000000001</v>
      </c>
      <c r="G73" s="5">
        <v>487.7</v>
      </c>
      <c r="H73" s="11">
        <v>714.8</v>
      </c>
      <c r="I73" s="11">
        <v>1202.5</v>
      </c>
      <c r="J73" s="14">
        <v>0.68879999999999997</v>
      </c>
      <c r="K73" s="14">
        <v>1.4335</v>
      </c>
      <c r="L73">
        <v>500</v>
      </c>
    </row>
    <row r="74" spans="1:12" x14ac:dyDescent="0.2">
      <c r="A74">
        <v>520</v>
      </c>
      <c r="B74" s="8">
        <v>811.4</v>
      </c>
      <c r="C74" s="14">
        <v>2.0910000000000002E-2</v>
      </c>
      <c r="D74" s="14">
        <v>0.5605</v>
      </c>
      <c r="E74" s="5">
        <v>508.5</v>
      </c>
      <c r="F74" s="11">
        <v>1114.8</v>
      </c>
      <c r="G74" s="5">
        <v>511.7</v>
      </c>
      <c r="H74" s="11">
        <v>687.3</v>
      </c>
      <c r="I74" s="11">
        <v>1198.9000000000001</v>
      </c>
      <c r="J74" s="14">
        <v>0.71299999999999997</v>
      </c>
      <c r="K74" s="14">
        <v>1.4145000000000001</v>
      </c>
      <c r="L74">
        <v>520</v>
      </c>
    </row>
    <row r="75" spans="1:12" x14ac:dyDescent="0.2">
      <c r="A75">
        <v>540</v>
      </c>
      <c r="B75" s="8">
        <v>961.5</v>
      </c>
      <c r="C75" s="14">
        <v>2.145E-2</v>
      </c>
      <c r="D75" s="14">
        <v>0.46579999999999999</v>
      </c>
      <c r="E75" s="5">
        <v>532.6</v>
      </c>
      <c r="F75" s="11">
        <v>1111</v>
      </c>
      <c r="G75" s="5">
        <v>536.4</v>
      </c>
      <c r="H75" s="11">
        <v>657.5</v>
      </c>
      <c r="I75" s="11">
        <v>1193.8</v>
      </c>
      <c r="J75" s="14">
        <v>0.73740000000000006</v>
      </c>
      <c r="K75" s="14">
        <v>1.395</v>
      </c>
      <c r="L75">
        <v>540</v>
      </c>
    </row>
    <row r="76" spans="1:12" x14ac:dyDescent="0.2">
      <c r="A76">
        <v>560</v>
      </c>
      <c r="B76" s="8">
        <v>1131.8</v>
      </c>
      <c r="C76" s="14">
        <v>2.2069999999999999E-2</v>
      </c>
      <c r="D76" s="14">
        <v>0.38769999999999999</v>
      </c>
      <c r="E76" s="5">
        <v>548.4</v>
      </c>
      <c r="F76" s="11">
        <v>1105.8</v>
      </c>
      <c r="G76" s="5">
        <v>562</v>
      </c>
      <c r="H76" s="11">
        <v>625</v>
      </c>
      <c r="I76" s="11">
        <v>1187</v>
      </c>
      <c r="J76" s="14">
        <v>0.76200000000000001</v>
      </c>
      <c r="K76" s="14">
        <v>1.3749</v>
      </c>
      <c r="L76">
        <v>560</v>
      </c>
    </row>
    <row r="77" spans="1:12" x14ac:dyDescent="0.2">
      <c r="A77">
        <v>580</v>
      </c>
      <c r="B77" s="8">
        <v>1324.3</v>
      </c>
      <c r="C77" s="14">
        <v>2.2780000000000002E-2</v>
      </c>
      <c r="D77" s="14">
        <v>0.32250000000000001</v>
      </c>
      <c r="E77" s="5">
        <v>583.1</v>
      </c>
      <c r="F77" s="11">
        <v>1098.9000000000001</v>
      </c>
      <c r="G77" s="5">
        <v>588.6</v>
      </c>
      <c r="H77" s="11">
        <v>589.29999999999995</v>
      </c>
      <c r="I77" s="11">
        <v>1178</v>
      </c>
      <c r="J77" s="14">
        <v>0.78720000000000001</v>
      </c>
      <c r="K77" s="14">
        <v>1.3540000000000001</v>
      </c>
      <c r="L77">
        <v>580</v>
      </c>
    </row>
    <row r="78" spans="1:12" x14ac:dyDescent="0.2">
      <c r="A78">
        <v>600</v>
      </c>
      <c r="B78" s="8">
        <v>1541</v>
      </c>
      <c r="C78" s="14">
        <v>2.3630000000000002E-2</v>
      </c>
      <c r="D78" s="14">
        <v>0.26769999999999999</v>
      </c>
      <c r="E78" s="5">
        <v>609.9</v>
      </c>
      <c r="F78" s="11">
        <v>1090</v>
      </c>
      <c r="G78" s="5">
        <v>616.70000000000005</v>
      </c>
      <c r="H78" s="11">
        <v>549.70000000000005</v>
      </c>
      <c r="I78" s="11">
        <v>1166.4000000000001</v>
      </c>
      <c r="J78" s="14">
        <v>0.81299999999999994</v>
      </c>
      <c r="K78" s="14">
        <v>1.3317000000000001</v>
      </c>
      <c r="L78">
        <v>600</v>
      </c>
    </row>
    <row r="79" spans="1:12" x14ac:dyDescent="0.2">
      <c r="A79">
        <v>620</v>
      </c>
      <c r="B79" s="8">
        <v>1784.4</v>
      </c>
      <c r="C79" s="14">
        <v>2.4649999999999998E-2</v>
      </c>
      <c r="D79" s="14">
        <v>0.22090000000000001</v>
      </c>
      <c r="E79" s="5">
        <v>638.29999999999995</v>
      </c>
      <c r="F79" s="11">
        <v>1078.5</v>
      </c>
      <c r="G79" s="5">
        <v>646.4</v>
      </c>
      <c r="H79" s="11">
        <v>505</v>
      </c>
      <c r="I79" s="11">
        <v>1151.4000000000001</v>
      </c>
      <c r="J79" s="14">
        <v>0.83979999999999999</v>
      </c>
      <c r="K79" s="14">
        <v>1.3075000000000001</v>
      </c>
      <c r="L79">
        <v>620</v>
      </c>
    </row>
    <row r="80" spans="1:12" x14ac:dyDescent="0.2">
      <c r="A80">
        <v>640</v>
      </c>
      <c r="B80" s="8">
        <v>2057.1</v>
      </c>
      <c r="C80" s="14">
        <v>2.5930000000000002E-2</v>
      </c>
      <c r="D80" s="14">
        <v>0.18049999999999999</v>
      </c>
      <c r="E80" s="5">
        <v>668.7</v>
      </c>
      <c r="F80" s="11">
        <v>1063.2</v>
      </c>
      <c r="G80" s="5">
        <v>678.6</v>
      </c>
      <c r="H80" s="11">
        <v>453.4</v>
      </c>
      <c r="I80" s="11">
        <v>1131.9000000000001</v>
      </c>
      <c r="J80" s="14">
        <v>0.86809999999999998</v>
      </c>
      <c r="K80" s="14">
        <v>1.2803</v>
      </c>
      <c r="L80">
        <v>640</v>
      </c>
    </row>
    <row r="81" spans="1:12" x14ac:dyDescent="0.2">
      <c r="A81">
        <v>660</v>
      </c>
      <c r="B81" s="8">
        <v>2362</v>
      </c>
      <c r="C81" s="14">
        <v>2.767E-2</v>
      </c>
      <c r="D81" s="14">
        <v>0.14460000000000001</v>
      </c>
      <c r="E81" s="5">
        <v>702.3</v>
      </c>
      <c r="F81" s="11">
        <v>1042.3</v>
      </c>
      <c r="G81" s="5">
        <v>714.4</v>
      </c>
      <c r="H81" s="11">
        <v>391.1</v>
      </c>
      <c r="I81" s="11">
        <v>1105.5</v>
      </c>
      <c r="J81" s="14">
        <v>0.89900000000000002</v>
      </c>
      <c r="K81" s="14">
        <v>1.2483</v>
      </c>
      <c r="L81">
        <v>660</v>
      </c>
    </row>
    <row r="82" spans="1:12" x14ac:dyDescent="0.2">
      <c r="A82">
        <v>680</v>
      </c>
      <c r="B82" s="8">
        <v>2705</v>
      </c>
      <c r="C82" s="14">
        <v>3.032E-2</v>
      </c>
      <c r="D82" s="14">
        <v>0.1113</v>
      </c>
      <c r="E82" s="5">
        <v>741.7</v>
      </c>
      <c r="F82" s="11">
        <v>1011</v>
      </c>
      <c r="G82" s="5">
        <v>756.9</v>
      </c>
      <c r="H82" s="11">
        <v>309.8</v>
      </c>
      <c r="I82" s="11">
        <v>1066.7</v>
      </c>
      <c r="J82" s="14">
        <v>0.93500000000000005</v>
      </c>
      <c r="K82" s="14">
        <v>1.2068000000000001</v>
      </c>
      <c r="L82">
        <v>680</v>
      </c>
    </row>
    <row r="83" spans="1:12" x14ac:dyDescent="0.2">
      <c r="A83">
        <v>700</v>
      </c>
      <c r="B83" s="8">
        <v>3090</v>
      </c>
      <c r="C83" s="14">
        <v>3.6659999999999998E-2</v>
      </c>
      <c r="D83" s="14">
        <v>7.4399999999999994E-2</v>
      </c>
      <c r="E83" s="5">
        <v>801.7</v>
      </c>
      <c r="F83" s="11">
        <v>947.7</v>
      </c>
      <c r="G83" s="5">
        <v>822.7</v>
      </c>
      <c r="H83" s="11">
        <v>167.5</v>
      </c>
      <c r="I83" s="11">
        <v>990.2</v>
      </c>
      <c r="J83" s="14">
        <v>0.99019999999999997</v>
      </c>
      <c r="K83" s="14">
        <v>1.1346000000000001</v>
      </c>
      <c r="L83">
        <v>700</v>
      </c>
    </row>
    <row r="84" spans="1:12" x14ac:dyDescent="0.2">
      <c r="A84">
        <v>705.4</v>
      </c>
      <c r="B84" s="8">
        <v>3204</v>
      </c>
      <c r="C84" s="14">
        <v>5.0529999999999999E-2</v>
      </c>
      <c r="D84" s="14">
        <v>5.0529999999999999E-2</v>
      </c>
      <c r="E84" s="5">
        <v>872.6</v>
      </c>
      <c r="F84" s="11">
        <v>872.6</v>
      </c>
      <c r="G84" s="5">
        <v>902.5</v>
      </c>
      <c r="H84" s="11">
        <v>0</v>
      </c>
      <c r="I84" s="11">
        <v>902.5</v>
      </c>
      <c r="J84" s="14">
        <v>1.0580000000000001</v>
      </c>
      <c r="K84" s="14">
        <v>1.0580000000000001</v>
      </c>
      <c r="L84">
        <v>705.4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Intro</vt:lpstr>
      <vt:lpstr>LearningToolSI</vt:lpstr>
      <vt:lpstr>PropLookupsSI</vt:lpstr>
      <vt:lpstr>TemperatureSI</vt:lpstr>
      <vt:lpstr>PressureSI</vt:lpstr>
      <vt:lpstr>SuperheatedSI</vt:lpstr>
      <vt:lpstr>SuperheatLookupSI</vt:lpstr>
      <vt:lpstr>PropLookupsEnglish</vt:lpstr>
      <vt:lpstr>TemperatureEnglish</vt:lpstr>
      <vt:lpstr>PressureEnglish</vt:lpstr>
      <vt:lpstr>SuperheatedEnglish</vt:lpstr>
      <vt:lpstr>SuperheatLookupEnglish</vt:lpstr>
      <vt:lpstr>GraphicsEnglish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Rule</dc:creator>
  <cp:lastModifiedBy>J. A. Rule</cp:lastModifiedBy>
  <dcterms:created xsi:type="dcterms:W3CDTF">2022-03-20T19:27:16Z</dcterms:created>
  <dcterms:modified xsi:type="dcterms:W3CDTF">2022-11-04T17:29:40Z</dcterms:modified>
</cp:coreProperties>
</file>