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S1_revisions\"/>
    </mc:Choice>
  </mc:AlternateContent>
  <xr:revisionPtr revIDLastSave="0" documentId="13_ncr:1_{89BE4A75-FB21-487E-BC35-9852F1A97FBD}" xr6:coauthVersionLast="47" xr6:coauthVersionMax="47" xr10:uidLastSave="{00000000-0000-0000-0000-000000000000}"/>
  <bookViews>
    <workbookView xWindow="2985" yWindow="39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7" i="1" l="1"/>
  <c r="AK16" i="1"/>
  <c r="AK15" i="1"/>
  <c r="AI15" i="1" l="1"/>
  <c r="AH15" i="1" l="1"/>
  <c r="AK18" i="1"/>
  <c r="AI18" i="1"/>
  <c r="AI16" i="1"/>
  <c r="AH16" i="1"/>
  <c r="AF18" i="1"/>
  <c r="AF17" i="1"/>
  <c r="AF16" i="1"/>
  <c r="AF1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R24" i="1" l="1"/>
  <c r="L25" i="1"/>
  <c r="R25" i="1" s="1"/>
  <c r="I25" i="1"/>
  <c r="M25" i="1" s="1"/>
  <c r="J25" i="1"/>
  <c r="L24" i="1"/>
  <c r="S24" i="1" s="1"/>
  <c r="I24" i="1"/>
  <c r="M24" i="1" s="1"/>
  <c r="J24" i="1"/>
  <c r="L23" i="1"/>
  <c r="R23" i="1" s="1"/>
  <c r="I23" i="1"/>
  <c r="M23" i="1" s="1"/>
  <c r="J23" i="1"/>
  <c r="L22" i="1"/>
  <c r="J22" i="1"/>
  <c r="I22" i="1"/>
  <c r="T25" i="1" l="1"/>
  <c r="W25" i="1" s="1"/>
  <c r="Y25" i="1" s="1"/>
  <c r="AA25" i="1" s="1"/>
  <c r="S25" i="1"/>
  <c r="S23" i="1"/>
  <c r="M22" i="1"/>
  <c r="R22" i="1"/>
  <c r="T24" i="1"/>
  <c r="W24" i="1" s="1"/>
  <c r="Y24" i="1" s="1"/>
  <c r="AA24" i="1" s="1"/>
  <c r="S22" i="1"/>
  <c r="U25" i="1"/>
  <c r="T23" i="1"/>
  <c r="W23" i="1" s="1"/>
  <c r="Y23" i="1" s="1"/>
  <c r="AA23" i="1" s="1"/>
  <c r="U23" i="1"/>
  <c r="X23" i="1" s="1"/>
  <c r="Z23" i="1" s="1"/>
  <c r="AB23" i="1" s="1"/>
  <c r="U24" i="1"/>
  <c r="R19" i="1"/>
  <c r="L21" i="1"/>
  <c r="I21" i="1"/>
  <c r="J21" i="1"/>
  <c r="L20" i="1"/>
  <c r="I20" i="1"/>
  <c r="J20" i="1"/>
  <c r="L19" i="1"/>
  <c r="S19" i="1" s="1"/>
  <c r="I19" i="1"/>
  <c r="M19" i="1" s="1"/>
  <c r="J19" i="1"/>
  <c r="L18" i="1"/>
  <c r="R18" i="1" s="1"/>
  <c r="I18" i="1"/>
  <c r="M18" i="1" s="1"/>
  <c r="J18" i="1"/>
  <c r="L17" i="1"/>
  <c r="I17" i="1"/>
  <c r="J17" i="1"/>
  <c r="L16" i="1"/>
  <c r="R16" i="1" s="1"/>
  <c r="I16" i="1"/>
  <c r="J16" i="1"/>
  <c r="L15" i="1"/>
  <c r="R15" i="1" s="1"/>
  <c r="J15" i="1"/>
  <c r="I15" i="1"/>
  <c r="L14" i="1"/>
  <c r="S14" i="1" s="1"/>
  <c r="I14" i="1"/>
  <c r="J14" i="1"/>
  <c r="V25" i="1" l="1"/>
  <c r="S15" i="1"/>
  <c r="U15" i="1" s="1"/>
  <c r="X15" i="1" s="1"/>
  <c r="Z15" i="1" s="1"/>
  <c r="AB15" i="1" s="1"/>
  <c r="T22" i="1"/>
  <c r="W22" i="1" s="1"/>
  <c r="Y22" i="1" s="1"/>
  <c r="AA22" i="1" s="1"/>
  <c r="M15" i="1"/>
  <c r="U22" i="1"/>
  <c r="X25" i="1"/>
  <c r="Z25" i="1" s="1"/>
  <c r="AB25" i="1" s="1"/>
  <c r="V23" i="1"/>
  <c r="X22" i="1"/>
  <c r="Z22" i="1" s="1"/>
  <c r="AB22" i="1" s="1"/>
  <c r="V22" i="1"/>
  <c r="X24" i="1"/>
  <c r="Z24" i="1" s="1"/>
  <c r="AB24" i="1" s="1"/>
  <c r="V24" i="1"/>
  <c r="S18" i="1"/>
  <c r="T18" i="1" s="1"/>
  <c r="W18" i="1" s="1"/>
  <c r="Y18" i="1" s="1"/>
  <c r="AA18" i="1" s="1"/>
  <c r="M21" i="1"/>
  <c r="S21" i="1"/>
  <c r="M17" i="1"/>
  <c r="R21" i="1"/>
  <c r="M14" i="1"/>
  <c r="M20" i="1"/>
  <c r="S17" i="1"/>
  <c r="R20" i="1"/>
  <c r="R17" i="1"/>
  <c r="T19" i="1"/>
  <c r="W19" i="1" s="1"/>
  <c r="Y19" i="1" s="1"/>
  <c r="AA19" i="1" s="1"/>
  <c r="S20" i="1"/>
  <c r="R14" i="1"/>
  <c r="M16" i="1"/>
  <c r="S16" i="1"/>
  <c r="T16" i="1" s="1"/>
  <c r="W16" i="1" s="1"/>
  <c r="Y16" i="1" s="1"/>
  <c r="AA16" i="1" s="1"/>
  <c r="U19" i="1"/>
  <c r="U18" i="1"/>
  <c r="AC19" i="1" l="1"/>
  <c r="AD19" i="1" s="1"/>
  <c r="AE19" i="1"/>
  <c r="AF19" i="1" s="1"/>
  <c r="AH19" i="1" s="1"/>
  <c r="AK19" i="1" s="1"/>
  <c r="AC18" i="1"/>
  <c r="AD18" i="1" s="1"/>
  <c r="AE18" i="1"/>
  <c r="AC16" i="1"/>
  <c r="AD16" i="1" s="1"/>
  <c r="AE16" i="1"/>
  <c r="T15" i="1"/>
  <c r="W15" i="1" s="1"/>
  <c r="Y15" i="1" s="1"/>
  <c r="AA15" i="1" s="1"/>
  <c r="U21" i="1"/>
  <c r="X21" i="1" s="1"/>
  <c r="Z21" i="1" s="1"/>
  <c r="AB21" i="1" s="1"/>
  <c r="T21" i="1"/>
  <c r="W21" i="1" s="1"/>
  <c r="Y21" i="1" s="1"/>
  <c r="AA21" i="1" s="1"/>
  <c r="T20" i="1"/>
  <c r="W20" i="1" s="1"/>
  <c r="Y20" i="1" s="1"/>
  <c r="AA20" i="1" s="1"/>
  <c r="U20" i="1"/>
  <c r="T14" i="1"/>
  <c r="W14" i="1" s="1"/>
  <c r="Y14" i="1" s="1"/>
  <c r="AA14" i="1" s="1"/>
  <c r="U14" i="1"/>
  <c r="U16" i="1"/>
  <c r="X16" i="1" s="1"/>
  <c r="Z16" i="1" s="1"/>
  <c r="AB16" i="1" s="1"/>
  <c r="T17" i="1"/>
  <c r="W17" i="1" s="1"/>
  <c r="Y17" i="1" s="1"/>
  <c r="AA17" i="1" s="1"/>
  <c r="U17" i="1"/>
  <c r="V18" i="1"/>
  <c r="X18" i="1"/>
  <c r="Z18" i="1" s="1"/>
  <c r="AB18" i="1" s="1"/>
  <c r="V19" i="1"/>
  <c r="X19" i="1"/>
  <c r="Z19" i="1" s="1"/>
  <c r="AB19" i="1" s="1"/>
  <c r="AC15" i="1" l="1"/>
  <c r="AD15" i="1" s="1"/>
  <c r="AE15" i="1"/>
  <c r="AC14" i="1"/>
  <c r="AD14" i="1" s="1"/>
  <c r="AE14" i="1"/>
  <c r="AF14" i="1" s="1"/>
  <c r="AH14" i="1" s="1"/>
  <c r="AK14" i="1" s="1"/>
  <c r="AH18" i="1"/>
  <c r="AC17" i="1"/>
  <c r="AD17" i="1" s="1"/>
  <c r="AE17" i="1"/>
  <c r="AC20" i="1"/>
  <c r="AD20" i="1" s="1"/>
  <c r="AE20" i="1"/>
  <c r="AF20" i="1" s="1"/>
  <c r="AH20" i="1" s="1"/>
  <c r="AK20" i="1" s="1"/>
  <c r="V15" i="1"/>
  <c r="AC21" i="1"/>
  <c r="AD21" i="1" s="1"/>
  <c r="AE21" i="1"/>
  <c r="AF21" i="1" s="1"/>
  <c r="AH21" i="1" s="1"/>
  <c r="AK21" i="1" s="1"/>
  <c r="V21" i="1"/>
  <c r="X17" i="1"/>
  <c r="Z17" i="1" s="1"/>
  <c r="AB17" i="1" s="1"/>
  <c r="V17" i="1"/>
  <c r="X14" i="1"/>
  <c r="Z14" i="1" s="1"/>
  <c r="AB14" i="1" s="1"/>
  <c r="V14" i="1"/>
  <c r="V16" i="1"/>
  <c r="V20" i="1"/>
  <c r="X20" i="1"/>
  <c r="Z20" i="1" s="1"/>
  <c r="AB20" i="1" s="1"/>
  <c r="AI17" i="1" l="1"/>
  <c r="AH17" i="1"/>
  <c r="X6" i="1"/>
  <c r="Z6" i="1" s="1"/>
  <c r="AB6" i="1" s="1"/>
  <c r="L13" i="1"/>
  <c r="R13" i="1" s="1"/>
  <c r="I13" i="1"/>
  <c r="M13" i="1" s="1"/>
  <c r="J13" i="1"/>
  <c r="L12" i="1"/>
  <c r="S12" i="1" s="1"/>
  <c r="I12" i="1"/>
  <c r="M12" i="1" s="1"/>
  <c r="J12" i="1"/>
  <c r="L11" i="1"/>
  <c r="R11" i="1" s="1"/>
  <c r="I11" i="1"/>
  <c r="J11" i="1"/>
  <c r="L10" i="1"/>
  <c r="I10" i="1"/>
  <c r="J10" i="1"/>
  <c r="R12" i="1" l="1"/>
  <c r="T12" i="1" s="1"/>
  <c r="W12" i="1" s="1"/>
  <c r="Y12" i="1" s="1"/>
  <c r="AA12" i="1" s="1"/>
  <c r="M11" i="1"/>
  <c r="M10" i="1"/>
  <c r="S10" i="1"/>
  <c r="R10" i="1"/>
  <c r="S13" i="1"/>
  <c r="U13" i="1" s="1"/>
  <c r="S11" i="1"/>
  <c r="U11" i="1" s="1"/>
  <c r="U12" i="1"/>
  <c r="AC12" i="1" l="1"/>
  <c r="AD12" i="1" s="1"/>
  <c r="AE12" i="1"/>
  <c r="AF12" i="1" s="1"/>
  <c r="AH12" i="1" s="1"/>
  <c r="AK12" i="1" s="1"/>
  <c r="T11" i="1"/>
  <c r="W11" i="1" s="1"/>
  <c r="Y11" i="1" s="1"/>
  <c r="AA11" i="1" s="1"/>
  <c r="X13" i="1"/>
  <c r="Z13" i="1" s="1"/>
  <c r="AB13" i="1" s="1"/>
  <c r="U10" i="1"/>
  <c r="T10" i="1"/>
  <c r="W10" i="1" s="1"/>
  <c r="Y10" i="1" s="1"/>
  <c r="AA10" i="1" s="1"/>
  <c r="T13" i="1"/>
  <c r="W13" i="1" s="1"/>
  <c r="Y13" i="1" s="1"/>
  <c r="AA13" i="1" s="1"/>
  <c r="X12" i="1"/>
  <c r="Z12" i="1" s="1"/>
  <c r="AB12" i="1" s="1"/>
  <c r="V12" i="1"/>
  <c r="X11" i="1"/>
  <c r="Z11" i="1" s="1"/>
  <c r="AB11" i="1" s="1"/>
  <c r="V11" i="1"/>
  <c r="L9" i="1"/>
  <c r="S9" i="1" s="1"/>
  <c r="I9" i="1"/>
  <c r="M9" i="1" s="1"/>
  <c r="J9" i="1"/>
  <c r="L8" i="1"/>
  <c r="R8" i="1" s="1"/>
  <c r="I8" i="1"/>
  <c r="M8" i="1" s="1"/>
  <c r="J8" i="1"/>
  <c r="L7" i="1"/>
  <c r="R7" i="1" s="1"/>
  <c r="J7" i="1"/>
  <c r="I7" i="1"/>
  <c r="L6" i="1"/>
  <c r="R6" i="1"/>
  <c r="S6" i="1"/>
  <c r="T6" i="1" s="1"/>
  <c r="I6" i="1"/>
  <c r="J6" i="1"/>
  <c r="AC10" i="1" l="1"/>
  <c r="AD10" i="1" s="1"/>
  <c r="AE10" i="1"/>
  <c r="AF10" i="1" s="1"/>
  <c r="AH10" i="1" s="1"/>
  <c r="AK10" i="1" s="1"/>
  <c r="AC11" i="1"/>
  <c r="AD11" i="1" s="1"/>
  <c r="AE11" i="1"/>
  <c r="AF11" i="1" s="1"/>
  <c r="AH11" i="1" s="1"/>
  <c r="AK11" i="1" s="1"/>
  <c r="AC13" i="1"/>
  <c r="AD13" i="1" s="1"/>
  <c r="AE13" i="1"/>
  <c r="AF13" i="1" s="1"/>
  <c r="AH13" i="1" s="1"/>
  <c r="AK13" i="1" s="1"/>
  <c r="S7" i="1"/>
  <c r="T7" i="1" s="1"/>
  <c r="W7" i="1" s="1"/>
  <c r="Y7" i="1" s="1"/>
  <c r="AA7" i="1" s="1"/>
  <c r="M6" i="1"/>
  <c r="V10" i="1"/>
  <c r="X10" i="1"/>
  <c r="Z10" i="1" s="1"/>
  <c r="AB10" i="1" s="1"/>
  <c r="M7" i="1"/>
  <c r="V13" i="1"/>
  <c r="R9" i="1"/>
  <c r="U9" i="1" s="1"/>
  <c r="S8" i="1"/>
  <c r="U8" i="1" s="1"/>
  <c r="W6" i="1"/>
  <c r="Y6" i="1" s="1"/>
  <c r="AA6" i="1" s="1"/>
  <c r="I2" i="1"/>
  <c r="L5" i="1"/>
  <c r="S5" i="1" s="1"/>
  <c r="J5" i="1"/>
  <c r="I5" i="1"/>
  <c r="L4" i="1"/>
  <c r="S4" i="1" s="1"/>
  <c r="J4" i="1"/>
  <c r="I4" i="1"/>
  <c r="L3" i="1"/>
  <c r="S3" i="1" s="1"/>
  <c r="J3" i="1"/>
  <c r="I3" i="1"/>
  <c r="L2" i="1"/>
  <c r="R2" i="1" s="1"/>
  <c r="J2" i="1"/>
  <c r="AC7" i="1" l="1"/>
  <c r="AD7" i="1" s="1"/>
  <c r="AE7" i="1"/>
  <c r="AF7" i="1" s="1"/>
  <c r="AH7" i="1" s="1"/>
  <c r="AK7" i="1" s="1"/>
  <c r="AC6" i="1"/>
  <c r="AD6" i="1" s="1"/>
  <c r="AE6" i="1"/>
  <c r="AF6" i="1" s="1"/>
  <c r="AH6" i="1" s="1"/>
  <c r="AK6" i="1" s="1"/>
  <c r="T9" i="1"/>
  <c r="W9" i="1" s="1"/>
  <c r="Y9" i="1" s="1"/>
  <c r="AA9" i="1" s="1"/>
  <c r="T8" i="1"/>
  <c r="W8" i="1" s="1"/>
  <c r="Y8" i="1" s="1"/>
  <c r="AA8" i="1" s="1"/>
  <c r="U7" i="1"/>
  <c r="V7" i="1" s="1"/>
  <c r="X8" i="1"/>
  <c r="Z8" i="1" s="1"/>
  <c r="AB8" i="1" s="1"/>
  <c r="X9" i="1"/>
  <c r="Z9" i="1" s="1"/>
  <c r="AB9" i="1" s="1"/>
  <c r="V6" i="1"/>
  <c r="M5" i="1"/>
  <c r="M4" i="1"/>
  <c r="R4" i="1"/>
  <c r="U4" i="1" s="1"/>
  <c r="X4" i="1" s="1"/>
  <c r="Z4" i="1" s="1"/>
  <c r="AB4" i="1" s="1"/>
  <c r="R3" i="1"/>
  <c r="U3" i="1" s="1"/>
  <c r="X3" i="1" s="1"/>
  <c r="Z3" i="1" s="1"/>
  <c r="AB3" i="1" s="1"/>
  <c r="M3" i="1"/>
  <c r="R5" i="1"/>
  <c r="U5" i="1" s="1"/>
  <c r="X5" i="1" s="1"/>
  <c r="Z5" i="1" s="1"/>
  <c r="AB5" i="1" s="1"/>
  <c r="S2" i="1"/>
  <c r="T2" i="1" s="1"/>
  <c r="W2" i="1" s="1"/>
  <c r="Y2" i="1" s="1"/>
  <c r="AA2" i="1" s="1"/>
  <c r="M2" i="1"/>
  <c r="AC8" i="1" l="1"/>
  <c r="AD8" i="1" s="1"/>
  <c r="AE8" i="1"/>
  <c r="AF8" i="1" s="1"/>
  <c r="AH8" i="1" s="1"/>
  <c r="AK8" i="1" s="1"/>
  <c r="AC9" i="1"/>
  <c r="AD9" i="1" s="1"/>
  <c r="AE9" i="1"/>
  <c r="AF9" i="1" s="1"/>
  <c r="AH9" i="1" s="1"/>
  <c r="AK9" i="1" s="1"/>
  <c r="U2" i="1"/>
  <c r="X2" i="1" s="1"/>
  <c r="Z2" i="1" s="1"/>
  <c r="AB2" i="1" s="1"/>
  <c r="AC2" i="1"/>
  <c r="AD2" i="1" s="1"/>
  <c r="AE2" i="1"/>
  <c r="AF2" i="1" s="1"/>
  <c r="AH2" i="1" s="1"/>
  <c r="AK2" i="1" s="1"/>
  <c r="V9" i="1"/>
  <c r="V8" i="1"/>
  <c r="T4" i="1"/>
  <c r="W4" i="1" s="1"/>
  <c r="Y4" i="1" s="1"/>
  <c r="AA4" i="1" s="1"/>
  <c r="X7" i="1"/>
  <c r="Z7" i="1" s="1"/>
  <c r="AB7" i="1" s="1"/>
  <c r="T3" i="1"/>
  <c r="W3" i="1" s="1"/>
  <c r="Y3" i="1" s="1"/>
  <c r="AA3" i="1" s="1"/>
  <c r="T5" i="1"/>
  <c r="W5" i="1" s="1"/>
  <c r="Y5" i="1" s="1"/>
  <c r="AA5" i="1" s="1"/>
  <c r="V2" i="1" l="1"/>
  <c r="AC5" i="1"/>
  <c r="AD5" i="1" s="1"/>
  <c r="AE5" i="1"/>
  <c r="AF5" i="1" s="1"/>
  <c r="AH5" i="1" s="1"/>
  <c r="AK5" i="1" s="1"/>
  <c r="AC3" i="1"/>
  <c r="AD3" i="1" s="1"/>
  <c r="AE3" i="1"/>
  <c r="AF3" i="1" s="1"/>
  <c r="AH3" i="1" s="1"/>
  <c r="AK3" i="1" s="1"/>
  <c r="AC4" i="1"/>
  <c r="AD4" i="1" s="1"/>
  <c r="AE4" i="1"/>
  <c r="AF4" i="1" s="1"/>
  <c r="AH4" i="1" s="1"/>
  <c r="AK4" i="1" s="1"/>
  <c r="V4" i="1"/>
  <c r="V3" i="1"/>
  <c r="V5" i="1"/>
</calcChain>
</file>

<file path=xl/sharedStrings.xml><?xml version="1.0" encoding="utf-8"?>
<sst xmlns="http://schemas.openxmlformats.org/spreadsheetml/2006/main" count="54" uniqueCount="52">
  <si>
    <t>date</t>
  </si>
  <si>
    <t>T in situ</t>
  </si>
  <si>
    <t>T incubation</t>
  </si>
  <si>
    <t>DPM replicat 1</t>
  </si>
  <si>
    <t>DPM replicat 2</t>
  </si>
  <si>
    <t>Mean Sample</t>
  </si>
  <si>
    <t>SD Sample</t>
  </si>
  <si>
    <t>Mean Blanc</t>
  </si>
  <si>
    <t>Mean Sample corrected</t>
  </si>
  <si>
    <t>incubation time (h)</t>
  </si>
  <si>
    <t>Cold Leucine cc (nM)</t>
  </si>
  <si>
    <t>Hot Leucine cc (nM)</t>
  </si>
  <si>
    <t>vol inc (mL)</t>
  </si>
  <si>
    <t>Replicat 1</t>
  </si>
  <si>
    <t>Replicat 2</t>
  </si>
  <si>
    <t>Mean BP</t>
  </si>
  <si>
    <t>SD BP</t>
  </si>
  <si>
    <t>Coeff Var</t>
  </si>
  <si>
    <t>(ngC/l/h)</t>
  </si>
  <si>
    <t xml:space="preserve">SD </t>
  </si>
  <si>
    <t>(µgC/l/d)</t>
  </si>
  <si>
    <t>SD</t>
  </si>
  <si>
    <t>(nmol C/l/d)</t>
  </si>
  <si>
    <t>?</t>
  </si>
  <si>
    <t>Sampling depth (m)</t>
  </si>
  <si>
    <t xml:space="preserve">Day1 </t>
  </si>
  <si>
    <t>cell abundance (cell mL)</t>
  </si>
  <si>
    <t>nmol C/cell/ d</t>
  </si>
  <si>
    <t>fmol C/cell/ d</t>
  </si>
  <si>
    <t>30nM</t>
  </si>
  <si>
    <t>20 nM</t>
  </si>
  <si>
    <t>40 nM</t>
  </si>
  <si>
    <t xml:space="preserve">20 nM </t>
  </si>
  <si>
    <t>Day2</t>
  </si>
  <si>
    <t>DPM blanc</t>
  </si>
  <si>
    <t>Cinetiques</t>
  </si>
  <si>
    <t>BGE = BP/(BP+BR)</t>
  </si>
  <si>
    <t>BP= bacterial production</t>
  </si>
  <si>
    <t>BR=bacterial respiration --&gt; proxy for remineralisation</t>
  </si>
  <si>
    <t>BR (nmolC/l/d) assuming 0.26 as BGE</t>
  </si>
  <si>
    <t>BR = proxy for remineralisation of carbon, needs to be translated to N</t>
  </si>
  <si>
    <t>%</t>
  </si>
  <si>
    <t>BR and BP terms expressed in carbon</t>
  </si>
  <si>
    <t>BGE is a percentage</t>
  </si>
  <si>
    <t>BR (molC/l/d)</t>
  </si>
  <si>
    <t>NH4 (molNH4/L)</t>
  </si>
  <si>
    <t>bacterial biomass assuming 12fgC cell-1 (gC/L)</t>
  </si>
  <si>
    <t xml:space="preserve">ratio C:N in organic matter = 106/16 (theory) </t>
  </si>
  <si>
    <t>Biomass to C:N real data</t>
  </si>
  <si>
    <t>estimate of N remineralized assuming Redfiled ratio (molN/l/d)</t>
  </si>
  <si>
    <t>estimate of N remineralized assuming C:N ratio measured (molN/l/d)</t>
  </si>
  <si>
    <t>see other excel file --&gt; it corresponds up to 8.05% of the 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</si>
</sst>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i/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FF0000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2" fontId="5" fillId="0" borderId="0" xfId="0" applyNumberFormat="1" applyFont="1"/>
    <xf numFmtId="164" fontId="6" fillId="0" borderId="0" xfId="0" applyNumberFormat="1" applyFont="1" applyFill="1" applyAlignment="1">
      <alignment horizontal="center"/>
    </xf>
    <xf numFmtId="164" fontId="5" fillId="0" borderId="0" xfId="0" applyNumberFormat="1" applyFont="1"/>
    <xf numFmtId="1" fontId="5" fillId="0" borderId="0" xfId="0" applyNumberFormat="1" applyFont="1"/>
    <xf numFmtId="164" fontId="7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center"/>
    </xf>
    <xf numFmtId="1" fontId="9" fillId="0" borderId="0" xfId="0" applyNumberFormat="1" applyFont="1"/>
    <xf numFmtId="164" fontId="9" fillId="0" borderId="0" xfId="0" applyNumberFormat="1" applyFont="1" applyFill="1" applyAlignment="1">
      <alignment horizontal="center"/>
    </xf>
    <xf numFmtId="1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/>
    <xf numFmtId="1" fontId="10" fillId="0" borderId="0" xfId="0" applyNumberFormat="1" applyFont="1"/>
    <xf numFmtId="0" fontId="10" fillId="0" borderId="0" xfId="0" applyFont="1"/>
    <xf numFmtId="0" fontId="11" fillId="0" borderId="0" xfId="0" applyFont="1"/>
    <xf numFmtId="166" fontId="5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/>
    <xf numFmtId="0" fontId="12" fillId="0" borderId="0" xfId="0" applyFont="1"/>
    <xf numFmtId="166" fontId="11" fillId="0" borderId="0" xfId="0" applyNumberFormat="1" applyFont="1"/>
    <xf numFmtId="11" fontId="11" fillId="0" borderId="0" xfId="0" applyNumberFormat="1" applyFont="1"/>
    <xf numFmtId="1" fontId="10" fillId="2" borderId="0" xfId="0" applyNumberFormat="1" applyFont="1" applyFill="1"/>
    <xf numFmtId="166" fontId="5" fillId="2" borderId="0" xfId="0" applyNumberFormat="1" applyFont="1" applyFill="1"/>
    <xf numFmtId="166" fontId="1" fillId="2" borderId="0" xfId="0" applyNumberFormat="1" applyFont="1" applyFill="1"/>
    <xf numFmtId="166" fontId="11" fillId="2" borderId="0" xfId="0" applyNumberFormat="1" applyFont="1" applyFill="1"/>
    <xf numFmtId="164" fontId="5" fillId="2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6" fontId="11" fillId="2" borderId="1" xfId="0" applyNumberFormat="1" applyFont="1" applyFill="1" applyBorder="1"/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Sheet1!$AB$2:$AB$21</c:f>
                <c:numCache>
                  <c:formatCode>General</c:formatCode>
                  <c:ptCount val="20"/>
                  <c:pt idx="0">
                    <c:v>0.86473879218124095</c:v>
                  </c:pt>
                  <c:pt idx="1">
                    <c:v>3.545578860380783</c:v>
                  </c:pt>
                  <c:pt idx="2">
                    <c:v>1.0356854844853529</c:v>
                  </c:pt>
                  <c:pt idx="3">
                    <c:v>0.66345508124287556</c:v>
                  </c:pt>
                  <c:pt idx="4">
                    <c:v>0</c:v>
                  </c:pt>
                  <c:pt idx="5">
                    <c:v>2.6110702757849742</c:v>
                  </c:pt>
                  <c:pt idx="6">
                    <c:v>2.1341851839206418</c:v>
                  </c:pt>
                  <c:pt idx="7">
                    <c:v>6.9299488369079469</c:v>
                  </c:pt>
                  <c:pt idx="8">
                    <c:v>16.815162025216726</c:v>
                  </c:pt>
                  <c:pt idx="9">
                    <c:v>0.25195241754618808</c:v>
                  </c:pt>
                  <c:pt idx="10">
                    <c:v>9.1856961131337425</c:v>
                  </c:pt>
                  <c:pt idx="11">
                    <c:v>1.755962283170152</c:v>
                  </c:pt>
                  <c:pt idx="12">
                    <c:v>87.597315134868055</c:v>
                  </c:pt>
                  <c:pt idx="13">
                    <c:v>90.138288296946044</c:v>
                  </c:pt>
                  <c:pt idx="14">
                    <c:v>54.875304523673904</c:v>
                  </c:pt>
                  <c:pt idx="15">
                    <c:v>6.6523331711053508</c:v>
                  </c:pt>
                  <c:pt idx="16">
                    <c:v>46.463556459227014</c:v>
                  </c:pt>
                  <c:pt idx="17">
                    <c:v>20.999627985985647</c:v>
                  </c:pt>
                  <c:pt idx="18">
                    <c:v>25.351899613579139</c:v>
                  </c:pt>
                  <c:pt idx="19">
                    <c:v>3.558353832746799</c:v>
                  </c:pt>
                </c:numCache>
              </c:numRef>
            </c:plus>
            <c:minus>
              <c:numRef>
                <c:f>Sheet1!$AB$2:$AB$21</c:f>
                <c:numCache>
                  <c:formatCode>General</c:formatCode>
                  <c:ptCount val="20"/>
                  <c:pt idx="0">
                    <c:v>0.86473879218124095</c:v>
                  </c:pt>
                  <c:pt idx="1">
                    <c:v>3.545578860380783</c:v>
                  </c:pt>
                  <c:pt idx="2">
                    <c:v>1.0356854844853529</c:v>
                  </c:pt>
                  <c:pt idx="3">
                    <c:v>0.66345508124287556</c:v>
                  </c:pt>
                  <c:pt idx="4">
                    <c:v>0</c:v>
                  </c:pt>
                  <c:pt idx="5">
                    <c:v>2.6110702757849742</c:v>
                  </c:pt>
                  <c:pt idx="6">
                    <c:v>2.1341851839206418</c:v>
                  </c:pt>
                  <c:pt idx="7">
                    <c:v>6.9299488369079469</c:v>
                  </c:pt>
                  <c:pt idx="8">
                    <c:v>16.815162025216726</c:v>
                  </c:pt>
                  <c:pt idx="9">
                    <c:v>0.25195241754618808</c:v>
                  </c:pt>
                  <c:pt idx="10">
                    <c:v>9.1856961131337425</c:v>
                  </c:pt>
                  <c:pt idx="11">
                    <c:v>1.755962283170152</c:v>
                  </c:pt>
                  <c:pt idx="12">
                    <c:v>87.597315134868055</c:v>
                  </c:pt>
                  <c:pt idx="13">
                    <c:v>90.138288296946044</c:v>
                  </c:pt>
                  <c:pt idx="14">
                    <c:v>54.875304523673904</c:v>
                  </c:pt>
                  <c:pt idx="15">
                    <c:v>6.6523331711053508</c:v>
                  </c:pt>
                  <c:pt idx="16">
                    <c:v>46.463556459227014</c:v>
                  </c:pt>
                  <c:pt idx="17">
                    <c:v>20.999627985985647</c:v>
                  </c:pt>
                  <c:pt idx="18">
                    <c:v>25.351899613579139</c:v>
                  </c:pt>
                  <c:pt idx="19">
                    <c:v>3.558353832746799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Sheet1!$AA$2:$AA$21</c:f>
              <c:numCache>
                <c:formatCode>0</c:formatCode>
                <c:ptCount val="20"/>
                <c:pt idx="0">
                  <c:v>12.541378446871622</c:v>
                </c:pt>
                <c:pt idx="1">
                  <c:v>11.283381600098176</c:v>
                </c:pt>
                <c:pt idx="2">
                  <c:v>11.902183934639284</c:v>
                </c:pt>
                <c:pt idx="3">
                  <c:v>10.390552284077414</c:v>
                </c:pt>
                <c:pt idx="4">
                  <c:v>13.171455120841268</c:v>
                </c:pt>
                <c:pt idx="5">
                  <c:v>51.583167387241311</c:v>
                </c:pt>
                <c:pt idx="6">
                  <c:v>23.390319645433031</c:v>
                </c:pt>
                <c:pt idx="7">
                  <c:v>60.019551281509635</c:v>
                </c:pt>
                <c:pt idx="8">
                  <c:v>86.003914829352226</c:v>
                </c:pt>
                <c:pt idx="9">
                  <c:v>72.499715361953818</c:v>
                </c:pt>
                <c:pt idx="10">
                  <c:v>71.482754812157694</c:v>
                </c:pt>
                <c:pt idx="11">
                  <c:v>145.32309506555589</c:v>
                </c:pt>
                <c:pt idx="12">
                  <c:v>814.83202266706553</c:v>
                </c:pt>
                <c:pt idx="13">
                  <c:v>763.70680799799379</c:v>
                </c:pt>
                <c:pt idx="14">
                  <c:v>797.80643928610846</c:v>
                </c:pt>
                <c:pt idx="15">
                  <c:v>965.73564869078211</c:v>
                </c:pt>
                <c:pt idx="16">
                  <c:v>992.64766826955236</c:v>
                </c:pt>
                <c:pt idx="17">
                  <c:v>773.5012223519401</c:v>
                </c:pt>
                <c:pt idx="18">
                  <c:v>515.38682039661921</c:v>
                </c:pt>
                <c:pt idx="19">
                  <c:v>459.99196041926297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B-42BF-88F7-908DADD9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2928"/>
        <c:axId val="170187392"/>
      </c:scatterChart>
      <c:valAx>
        <c:axId val="169212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Bacterial Production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 (nmolC L-1 d-1)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70187392"/>
        <c:crosses val="autoZero"/>
        <c:crossBetween val="midCat"/>
      </c:valAx>
      <c:valAx>
        <c:axId val="170187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692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  <a:cs typeface="Arial" panose="020B0604020202020204" pitchFamily="34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Sheet1!$AD$2:$AD$21</c:f>
              <c:numCache>
                <c:formatCode>0.00</c:formatCode>
                <c:ptCount val="20"/>
                <c:pt idx="0">
                  <c:v>0.11982208707202185</c:v>
                </c:pt>
                <c:pt idx="1">
                  <c:v>0.10644699622734129</c:v>
                </c:pt>
                <c:pt idx="2">
                  <c:v>0.12441307248751864</c:v>
                </c:pt>
                <c:pt idx="3">
                  <c:v>6.3357026122423249E-2</c:v>
                </c:pt>
                <c:pt idx="4">
                  <c:v>0.15197832831739924</c:v>
                </c:pt>
                <c:pt idx="5">
                  <c:v>0.34388778258160874</c:v>
                </c:pt>
                <c:pt idx="6">
                  <c:v>0.1486672858819896</c:v>
                </c:pt>
                <c:pt idx="7">
                  <c:v>0.8038332760916469</c:v>
                </c:pt>
                <c:pt idx="8">
                  <c:v>1.1781358195801674</c:v>
                </c:pt>
                <c:pt idx="9">
                  <c:v>0.82699295089681146</c:v>
                </c:pt>
                <c:pt idx="10">
                  <c:v>0.68513822503665522</c:v>
                </c:pt>
                <c:pt idx="11">
                  <c:v>1.5243681300582785</c:v>
                </c:pt>
                <c:pt idx="12">
                  <c:v>5.3373276593912591</c:v>
                </c:pt>
                <c:pt idx="13">
                  <c:v>1.0292544582183205</c:v>
                </c:pt>
                <c:pt idx="14">
                  <c:v>0.88155407655923579</c:v>
                </c:pt>
                <c:pt idx="15">
                  <c:v>1.6508301687021918</c:v>
                </c:pt>
                <c:pt idx="16">
                  <c:v>2.1532487381118273</c:v>
                </c:pt>
                <c:pt idx="17">
                  <c:v>1.7795273520366719</c:v>
                </c:pt>
                <c:pt idx="18">
                  <c:v>1.1436098085723798</c:v>
                </c:pt>
                <c:pt idx="19">
                  <c:v>1.1586699254893273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7-4F1C-BDF2-B73AA0B4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1296"/>
        <c:axId val="163113216"/>
      </c:scatterChart>
      <c:valAx>
        <c:axId val="1631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+mn-cs"/>
                  </a:defRPr>
                </a:pPr>
                <a:r>
                  <a:rPr lang="fr-FR"/>
                  <a:t>Cell-specific bacterial production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(fmolC cell-1 d-1)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2585733293380853"/>
              <c:y val="1.8547137639557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+mn-cs"/>
              </a:defRPr>
            </a:pPr>
            <a:endParaRPr lang="en-CH"/>
          </a:p>
        </c:txPr>
        <c:crossAx val="163113216"/>
        <c:crosses val="autoZero"/>
        <c:crossBetween val="midCat"/>
      </c:valAx>
      <c:valAx>
        <c:axId val="163113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+mn-cs"/>
                  </a:defRPr>
                </a:pPr>
                <a:r>
                  <a:rPr lang="fr-CH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+mn-cs"/>
              </a:defRPr>
            </a:pPr>
            <a:endParaRPr lang="en-CH"/>
          </a:p>
        </c:txPr>
        <c:crossAx val="1631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Sheet1!$AH$2:$AH$21</c:f>
              <c:numCache>
                <c:formatCode>0.0E+00</c:formatCode>
                <c:ptCount val="20"/>
                <c:pt idx="0">
                  <c:v>5.3878781136052244E-9</c:v>
                </c:pt>
                <c:pt idx="1">
                  <c:v>4.8474324435835418E-9</c:v>
                </c:pt>
                <c:pt idx="2">
                  <c:v>5.1132749559553389E-9</c:v>
                </c:pt>
                <c:pt idx="3">
                  <c:v>4.4638657127531411E-9</c:v>
                </c:pt>
                <c:pt idx="4">
                  <c:v>5.6585641738302111E-9</c:v>
                </c:pt>
                <c:pt idx="5">
                  <c:v>2.216054796316898E-8</c:v>
                </c:pt>
                <c:pt idx="6">
                  <c:v>1.0048671429678053E-8</c:v>
                </c:pt>
                <c:pt idx="7">
                  <c:v>2.5784887052724022E-8</c:v>
                </c:pt>
                <c:pt idx="8">
                  <c:v>3.6947980826543188E-8</c:v>
                </c:pt>
                <c:pt idx="9">
                  <c:v>3.114646697697871E-8</c:v>
                </c:pt>
                <c:pt idx="10">
                  <c:v>3.0709572459214337E-8</c:v>
                </c:pt>
                <c:pt idx="11">
                  <c:v>6.2431982785783082E-8</c:v>
                </c:pt>
                <c:pt idx="12">
                  <c:v>3.5005845966538659E-7</c:v>
                </c:pt>
                <c:pt idx="13">
                  <c:v>3.2809465191205544E-7</c:v>
                </c:pt>
                <c:pt idx="14">
                  <c:v>3.4274413066573016E-7</c:v>
                </c:pt>
                <c:pt idx="15">
                  <c:v>4.148878839077961E-7</c:v>
                </c:pt>
                <c:pt idx="16">
                  <c:v>4.264495062522315E-7</c:v>
                </c:pt>
                <c:pt idx="17">
                  <c:v>3.3230241192478119E-7</c:v>
                </c:pt>
                <c:pt idx="18">
                  <c:v>2.2141436696284366E-7</c:v>
                </c:pt>
                <c:pt idx="19">
                  <c:v>1.9761628488258613E-7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4-40AF-8C91-747ECAEFF3FB}"/>
            </c:ext>
          </c:extLst>
        </c:ser>
        <c:ser>
          <c:idx val="1"/>
          <c:order val="1"/>
          <c:tx>
            <c:strRef>
              <c:f>Sheet1!$AJ$1</c:f>
              <c:strCache>
                <c:ptCount val="1"/>
                <c:pt idx="0">
                  <c:v>NH4 (molNH4/L)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Sheet1!$AJ$2:$AJ$21</c:f>
              <c:numCache>
                <c:formatCode>0.0E+00</c:formatCode>
                <c:ptCount val="20"/>
                <c:pt idx="0">
                  <c:v>1.0698447893569844E-6</c:v>
                </c:pt>
                <c:pt idx="1">
                  <c:v>4.7671840354767178E-7</c:v>
                </c:pt>
                <c:pt idx="2">
                  <c:v>1.0532150776053214E-6</c:v>
                </c:pt>
                <c:pt idx="3">
                  <c:v>4.8226164079822617E-7</c:v>
                </c:pt>
                <c:pt idx="4">
                  <c:v>6.5964523281596449E-7</c:v>
                </c:pt>
                <c:pt idx="5">
                  <c:v>4.1574279379157427E-7</c:v>
                </c:pt>
                <c:pt idx="6">
                  <c:v>3.8248337028824835E-7</c:v>
                </c:pt>
                <c:pt idx="7">
                  <c:v>4.7117516629711756E-7</c:v>
                </c:pt>
                <c:pt idx="8">
                  <c:v>5.9312638580931264E-7</c:v>
                </c:pt>
                <c:pt idx="9">
                  <c:v>1.6740576496674058E-6</c:v>
                </c:pt>
                <c:pt idx="10">
                  <c:v>1.3580931263858093E-6</c:v>
                </c:pt>
                <c:pt idx="11">
                  <c:v>1.0365853658536583E-6</c:v>
                </c:pt>
                <c:pt idx="12">
                  <c:v>5.3603104212860309E-6</c:v>
                </c:pt>
                <c:pt idx="13">
                  <c:v>2.2172949002217301E-7</c:v>
                </c:pt>
                <c:pt idx="14">
                  <c:v>2.8270509977827E-7</c:v>
                </c:pt>
                <c:pt idx="15">
                  <c:v>2.77161862527716E-8</c:v>
                </c:pt>
                <c:pt idx="16">
                  <c:v>3.9578713968957897E-6</c:v>
                </c:pt>
                <c:pt idx="17">
                  <c:v>7.7439024390243892E-6</c:v>
                </c:pt>
                <c:pt idx="18">
                  <c:v>9.2184035476718402E-6</c:v>
                </c:pt>
                <c:pt idx="19">
                  <c:v>1.4545454545454545E-5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4-40AF-8C91-747ECAEF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2928"/>
        <c:axId val="170187392"/>
      </c:scatterChart>
      <c:valAx>
        <c:axId val="169212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Estimate of N regenerated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 (molN L-1 d-1)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70187392"/>
        <c:crosses val="autoZero"/>
        <c:crossBetween val="midCat"/>
      </c:valAx>
      <c:valAx>
        <c:axId val="170187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692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  <a:cs typeface="Arial" panose="020B0604020202020204" pitchFamily="34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0.00E+00</c:formatCode>
                <c:ptCount val="20"/>
                <c:pt idx="0">
                  <c:v>1.2559999999999999E-6</c:v>
                </c:pt>
                <c:pt idx="1">
                  <c:v>1.2720000000000001E-6</c:v>
                </c:pt>
                <c:pt idx="2">
                  <c:v>1.1480000000000003E-6</c:v>
                </c:pt>
                <c:pt idx="3">
                  <c:v>1.968E-6</c:v>
                </c:pt>
                <c:pt idx="4">
                  <c:v>1.0400000000000002E-6</c:v>
                </c:pt>
                <c:pt idx="5">
                  <c:v>1.8000000000000001E-6</c:v>
                </c:pt>
                <c:pt idx="6">
                  <c:v>1.8880000000000002E-6</c:v>
                </c:pt>
                <c:pt idx="7">
                  <c:v>8.9600000000000008E-7</c:v>
                </c:pt>
                <c:pt idx="8">
                  <c:v>8.7600000000000006E-7</c:v>
                </c:pt>
                <c:pt idx="9">
                  <c:v>1.052E-6</c:v>
                </c:pt>
                <c:pt idx="10">
                  <c:v>1.252E-6</c:v>
                </c:pt>
                <c:pt idx="11">
                  <c:v>1.1440000000000002E-6</c:v>
                </c:pt>
                <c:pt idx="12">
                  <c:v>1.832E-6</c:v>
                </c:pt>
                <c:pt idx="13">
                  <c:v>8.9040000000000015E-6</c:v>
                </c:pt>
                <c:pt idx="14">
                  <c:v>1.0860000000000001E-5</c:v>
                </c:pt>
                <c:pt idx="15">
                  <c:v>7.0200000000000006E-6</c:v>
                </c:pt>
                <c:pt idx="16">
                  <c:v>5.5320000000000006E-6</c:v>
                </c:pt>
                <c:pt idx="17">
                  <c:v>5.2160000000000005E-6</c:v>
                </c:pt>
                <c:pt idx="18">
                  <c:v>5.4080000000000006E-6</c:v>
                </c:pt>
                <c:pt idx="19">
                  <c:v>4.7640000000000005E-6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F-489A-ACAB-EFEA3CDE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2928"/>
        <c:axId val="170187392"/>
      </c:scatterChart>
      <c:valAx>
        <c:axId val="169212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Bacterial Biomass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 (gC L-1 d)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70187392"/>
        <c:crosses val="autoZero"/>
        <c:crossBetween val="midCat"/>
      </c:valAx>
      <c:valAx>
        <c:axId val="170187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CH"/>
          </a:p>
        </c:txPr>
        <c:crossAx val="1692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  <a:cs typeface="Arial" panose="020B0604020202020204" pitchFamily="34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216694</xdr:colOff>
      <xdr:row>0</xdr:row>
      <xdr:rowOff>0</xdr:rowOff>
    </xdr:from>
    <xdr:to>
      <xdr:col>48</xdr:col>
      <xdr:colOff>316706</xdr:colOff>
      <xdr:row>32</xdr:row>
      <xdr:rowOff>130967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290513</xdr:colOff>
      <xdr:row>0</xdr:row>
      <xdr:rowOff>28575</xdr:rowOff>
    </xdr:from>
    <xdr:to>
      <xdr:col>55</xdr:col>
      <xdr:colOff>61913</xdr:colOff>
      <xdr:row>32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228600</xdr:colOff>
      <xdr:row>0</xdr:row>
      <xdr:rowOff>47625</xdr:rowOff>
    </xdr:from>
    <xdr:to>
      <xdr:col>45</xdr:col>
      <xdr:colOff>328612</xdr:colOff>
      <xdr:row>32</xdr:row>
      <xdr:rowOff>178592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958679C-362D-4C7B-9C8C-16414554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38</xdr:col>
      <xdr:colOff>1452562</xdr:colOff>
      <xdr:row>56</xdr:row>
      <xdr:rowOff>130967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877F669-7E6F-4A91-9C1F-08512B871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2"/>
  <sheetViews>
    <sheetView tabSelected="1" topLeftCell="AJ1" zoomScale="80" zoomScaleNormal="80" workbookViewId="0">
      <selection activeCell="AM15" sqref="AM15:AM21"/>
    </sheetView>
  </sheetViews>
  <sheetFormatPr defaultColWidth="9.140625" defaultRowHeight="15" x14ac:dyDescent="0.25"/>
  <cols>
    <col min="1" max="1" width="12.28515625" style="1" bestFit="1" customWidth="1"/>
    <col min="2" max="2" width="8.28515625" style="1" bestFit="1" customWidth="1"/>
    <col min="3" max="3" width="19.5703125" style="1" bestFit="1" customWidth="1"/>
    <col min="4" max="5" width="19.5703125" style="1" customWidth="1"/>
    <col min="6" max="6" width="12.28515625" style="1" bestFit="1" customWidth="1"/>
    <col min="7" max="8" width="16.28515625" style="1" bestFit="1" customWidth="1"/>
    <col min="9" max="9" width="15.7109375" style="1" bestFit="1" customWidth="1"/>
    <col min="10" max="10" width="13.140625" style="1" bestFit="1" customWidth="1"/>
    <col min="11" max="11" width="14.5703125" style="1" bestFit="1" customWidth="1"/>
    <col min="12" max="12" width="13.42578125" style="1" bestFit="1" customWidth="1"/>
    <col min="13" max="13" width="23.5703125" style="1" bestFit="1" customWidth="1"/>
    <col min="14" max="14" width="19.85546875" style="1" bestFit="1" customWidth="1"/>
    <col min="15" max="15" width="22" style="1" bestFit="1" customWidth="1"/>
    <col min="16" max="16" width="20.85546875" style="1" bestFit="1" customWidth="1"/>
    <col min="17" max="17" width="12.5703125" style="1" bestFit="1" customWidth="1"/>
    <col min="18" max="18" width="10.85546875" style="1" bestFit="1" customWidth="1"/>
    <col min="19" max="26" width="9.140625" style="1"/>
    <col min="27" max="27" width="12.42578125" style="1" bestFit="1" customWidth="1"/>
    <col min="28" max="28" width="9.140625" style="1"/>
    <col min="29" max="30" width="20.28515625" customWidth="1"/>
    <col min="31" max="31" width="30.42578125" customWidth="1"/>
    <col min="32" max="32" width="22.140625" style="1" customWidth="1"/>
    <col min="33" max="33" width="30.5703125" style="1" customWidth="1"/>
    <col min="34" max="34" width="24.5703125" style="1" customWidth="1"/>
    <col min="35" max="35" width="14.7109375" style="1" customWidth="1"/>
    <col min="36" max="36" width="16.85546875" style="1" bestFit="1" customWidth="1"/>
    <col min="37" max="37" width="34.140625" style="1" customWidth="1"/>
    <col min="38" max="38" width="9.140625" style="1"/>
    <col min="39" max="39" width="34" style="1" customWidth="1"/>
    <col min="40" max="16384" width="9.140625" style="1"/>
  </cols>
  <sheetData>
    <row r="1" spans="1:39" s="27" customFormat="1" ht="85.5" x14ac:dyDescent="0.25">
      <c r="A1" s="27" t="s">
        <v>0</v>
      </c>
      <c r="B1" s="27" t="s">
        <v>1</v>
      </c>
      <c r="C1" s="27" t="s">
        <v>24</v>
      </c>
      <c r="D1" s="27" t="s">
        <v>26</v>
      </c>
      <c r="E1" s="27" t="s">
        <v>46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34</v>
      </c>
      <c r="L1" s="27" t="s">
        <v>7</v>
      </c>
      <c r="M1" s="27" t="s">
        <v>8</v>
      </c>
      <c r="N1" s="27" t="s">
        <v>9</v>
      </c>
      <c r="O1" s="27" t="s">
        <v>10</v>
      </c>
      <c r="P1" s="27" t="s">
        <v>11</v>
      </c>
      <c r="Q1" s="39" t="s">
        <v>12</v>
      </c>
      <c r="R1" s="39" t="s">
        <v>13</v>
      </c>
      <c r="S1" s="39" t="s">
        <v>14</v>
      </c>
      <c r="T1" s="39" t="s">
        <v>15</v>
      </c>
      <c r="U1" s="39" t="s">
        <v>16</v>
      </c>
      <c r="V1" s="39" t="s">
        <v>17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21</v>
      </c>
      <c r="AC1" s="27" t="s">
        <v>27</v>
      </c>
      <c r="AD1" s="27" t="s">
        <v>28</v>
      </c>
      <c r="AE1" s="27" t="s">
        <v>39</v>
      </c>
      <c r="AF1" s="27" t="s">
        <v>44</v>
      </c>
      <c r="AG1" s="27" t="s">
        <v>48</v>
      </c>
      <c r="AH1" s="38" t="s">
        <v>49</v>
      </c>
      <c r="AI1" s="38" t="s">
        <v>50</v>
      </c>
      <c r="AJ1" s="27" t="s">
        <v>45</v>
      </c>
      <c r="AK1" s="27" t="s">
        <v>41</v>
      </c>
      <c r="AL1" s="27" t="s">
        <v>24</v>
      </c>
    </row>
    <row r="2" spans="1:39" x14ac:dyDescent="0.25">
      <c r="A2" s="3" t="s">
        <v>25</v>
      </c>
      <c r="B2" s="4" t="s">
        <v>23</v>
      </c>
      <c r="C2" s="1">
        <v>1</v>
      </c>
      <c r="D2" s="17">
        <v>104666.66666666667</v>
      </c>
      <c r="E2" s="32">
        <f>D2*12*10^-15*1000</f>
        <v>1.2559999999999999E-6</v>
      </c>
      <c r="F2" s="1">
        <v>11</v>
      </c>
      <c r="G2" s="14">
        <v>1878.92</v>
      </c>
      <c r="H2" s="2">
        <v>2040.54</v>
      </c>
      <c r="I2" s="2">
        <f>AVERAGE(G2:H2)</f>
        <v>1959.73</v>
      </c>
      <c r="J2" s="2">
        <f>STDEV(G2:H2)</f>
        <v>114.28259797536974</v>
      </c>
      <c r="K2" s="2">
        <v>302.27999999999997</v>
      </c>
      <c r="L2" s="2">
        <f>K2</f>
        <v>302.27999999999997</v>
      </c>
      <c r="M2" s="2">
        <f>I2-L2</f>
        <v>1657.45</v>
      </c>
      <c r="N2" s="5">
        <v>2</v>
      </c>
      <c r="O2" s="1">
        <v>10</v>
      </c>
      <c r="P2" s="1">
        <v>10</v>
      </c>
      <c r="Q2" s="1">
        <v>1.5</v>
      </c>
      <c r="R2" s="6">
        <f>(G2-L2)/2200000/123.8*1000/Q2/N2*(O2+P2)/P2*1000</f>
        <v>3.8592059529054685</v>
      </c>
      <c r="S2" s="6">
        <f>(H2-L2)/2200000/123.8*1000/Q2/N2*(O2+P2)/P2*1000</f>
        <v>4.2548098105448675</v>
      </c>
      <c r="T2" s="7">
        <f>AVERAGE(R2:S2)</f>
        <v>4.057007881725168</v>
      </c>
      <c r="U2" s="5">
        <f>STDEV(R2:S2)</f>
        <v>0.27973417040037657</v>
      </c>
      <c r="V2" s="8">
        <f t="shared" ref="V2:V5" si="0">(U2/T2)*100</f>
        <v>6.8950857024567753</v>
      </c>
      <c r="W2" s="9">
        <f t="shared" ref="W2:X5" si="1">(T2*131.2)/0.073*0.86/1000</f>
        <v>6.2706892234358103</v>
      </c>
      <c r="X2" s="6">
        <f t="shared" si="1"/>
        <v>0.43236939609062042</v>
      </c>
      <c r="Y2" s="10">
        <f t="shared" ref="Y2:Z5" si="2">(W2*24)/1000</f>
        <v>0.15049654136245946</v>
      </c>
      <c r="Z2" s="11">
        <f t="shared" si="2"/>
        <v>1.0376865506174891E-2</v>
      </c>
      <c r="AA2" s="12">
        <f t="shared" ref="AA2:AB5" si="3">(Y2/12)*1000</f>
        <v>12.541378446871622</v>
      </c>
      <c r="AB2" s="13">
        <f t="shared" si="3"/>
        <v>0.86473879218124095</v>
      </c>
      <c r="AC2" s="17">
        <f>AA2/(D2*1000)</f>
        <v>1.1982208707202186E-7</v>
      </c>
      <c r="AD2" s="18">
        <f>AC2*1000000</f>
        <v>0.11982208707202185</v>
      </c>
      <c r="AE2" s="21">
        <f>(AA2/0.26)-AA2</f>
        <v>35.694692502634609</v>
      </c>
      <c r="AF2" s="24">
        <f>AE2*10^-9</f>
        <v>3.5694692502634609E-8</v>
      </c>
      <c r="AG2" s="24"/>
      <c r="AH2" s="25">
        <f t="shared" ref="AH2:AH21" si="4">AF2*16/106</f>
        <v>5.3878781136052244E-9</v>
      </c>
      <c r="AI2" s="25"/>
      <c r="AJ2" s="31">
        <v>1.0698447893569844E-6</v>
      </c>
      <c r="AK2" s="26">
        <f>AH2/AJ2*100</f>
        <v>0.50361306305408426</v>
      </c>
      <c r="AL2" s="1">
        <v>1</v>
      </c>
    </row>
    <row r="3" spans="1:39" x14ac:dyDescent="0.25">
      <c r="A3" s="3">
        <v>42975</v>
      </c>
      <c r="C3" s="1">
        <v>2</v>
      </c>
      <c r="D3" s="17">
        <v>106000</v>
      </c>
      <c r="E3" s="32">
        <f t="shared" ref="E3:E21" si="5">D3*12*10^-15*1000</f>
        <v>1.2720000000000001E-6</v>
      </c>
      <c r="F3" s="1">
        <v>11</v>
      </c>
      <c r="G3" s="2">
        <v>1451.22</v>
      </c>
      <c r="H3" s="2">
        <v>2113.89</v>
      </c>
      <c r="I3" s="2">
        <f t="shared" ref="I3:I14" si="6">AVERAGE(G3:H3)</f>
        <v>1782.5549999999998</v>
      </c>
      <c r="J3" s="2">
        <f t="shared" ref="J3:J14" si="7">STDEV(G3:H3)</f>
        <v>468.57845068889105</v>
      </c>
      <c r="K3" s="2">
        <v>291.36</v>
      </c>
      <c r="L3" s="2">
        <f t="shared" ref="L3:L5" si="8">K3</f>
        <v>291.36</v>
      </c>
      <c r="M3" s="2">
        <f t="shared" ref="M3:M5" si="9">I3-L3</f>
        <v>1491.1949999999997</v>
      </c>
      <c r="N3" s="5">
        <v>2</v>
      </c>
      <c r="O3" s="1">
        <v>10</v>
      </c>
      <c r="P3" s="1">
        <v>10</v>
      </c>
      <c r="Q3" s="1">
        <v>1.5</v>
      </c>
      <c r="R3" s="6">
        <f>(G3-L3)/2200000/123.8*1000/Q3/N3*(O3+P3)/P3*1000</f>
        <v>2.8390365692465855</v>
      </c>
      <c r="S3" s="6">
        <f>(H3-L3)/2200000/123.8*1000/Q3/N3*(O3+P3)/P3*1000</f>
        <v>4.4610809223087085</v>
      </c>
      <c r="T3" s="7">
        <f t="shared" ref="T3:T5" si="10">AVERAGE(R3:S3)</f>
        <v>3.6500587457776472</v>
      </c>
      <c r="U3" s="5">
        <f t="shared" ref="U3:U5" si="11">STDEV(R3:S3)</f>
        <v>1.1469585614355728</v>
      </c>
      <c r="V3" s="8">
        <f t="shared" si="0"/>
        <v>31.423016486032274</v>
      </c>
      <c r="W3" s="9">
        <f t="shared" si="1"/>
        <v>5.6416908000490888</v>
      </c>
      <c r="X3" s="6">
        <f t="shared" si="1"/>
        <v>1.7727894301903915</v>
      </c>
      <c r="Y3" s="10">
        <f t="shared" si="2"/>
        <v>0.13540057920117812</v>
      </c>
      <c r="Z3" s="11">
        <f t="shared" si="2"/>
        <v>4.2546946324569394E-2</v>
      </c>
      <c r="AA3" s="12">
        <f t="shared" si="3"/>
        <v>11.283381600098176</v>
      </c>
      <c r="AB3" s="13">
        <f t="shared" si="3"/>
        <v>3.545578860380783</v>
      </c>
      <c r="AC3" s="17">
        <f t="shared" ref="AC3:AC21" si="12">AA3/(D3*1000)</f>
        <v>1.0644699622734129E-7</v>
      </c>
      <c r="AD3" s="18">
        <f t="shared" ref="AD3:AD21" si="13">AC3*1000000</f>
        <v>0.10644699622734129</v>
      </c>
      <c r="AE3" s="21">
        <f t="shared" ref="AE3:AE21" si="14">(AA3/0.26)-AA3</f>
        <v>32.114239938740965</v>
      </c>
      <c r="AF3" s="24">
        <f t="shared" ref="AF3:AF21" si="15">AE3*10^-9</f>
        <v>3.2114239938740965E-8</v>
      </c>
      <c r="AG3" s="24"/>
      <c r="AH3" s="25">
        <f t="shared" si="4"/>
        <v>4.8474324435835418E-9</v>
      </c>
      <c r="AI3" s="25"/>
      <c r="AJ3" s="31">
        <v>4.7671840354767178E-7</v>
      </c>
      <c r="AK3" s="26">
        <f t="shared" ref="AK3:AK21" si="16">AH3/AJ3*100</f>
        <v>1.0168335032819431</v>
      </c>
      <c r="AL3" s="1">
        <v>2</v>
      </c>
    </row>
    <row r="4" spans="1:39" x14ac:dyDescent="0.25">
      <c r="C4" s="1">
        <v>3</v>
      </c>
      <c r="D4" s="17">
        <v>95666.666666666672</v>
      </c>
      <c r="E4" s="32">
        <f t="shared" si="5"/>
        <v>1.1480000000000003E-6</v>
      </c>
      <c r="F4" s="1">
        <v>11</v>
      </c>
      <c r="G4" s="2">
        <v>7167.86</v>
      </c>
      <c r="H4" s="2">
        <v>7361.43</v>
      </c>
      <c r="I4" s="2">
        <f t="shared" si="6"/>
        <v>7264.6450000000004</v>
      </c>
      <c r="J4" s="2">
        <f t="shared" si="7"/>
        <v>136.87465963428045</v>
      </c>
      <c r="K4" s="2">
        <v>5691.67</v>
      </c>
      <c r="L4" s="2">
        <f t="shared" si="8"/>
        <v>5691.67</v>
      </c>
      <c r="M4" s="2">
        <f t="shared" si="9"/>
        <v>1572.9750000000004</v>
      </c>
      <c r="N4" s="5">
        <v>2</v>
      </c>
      <c r="O4" s="1">
        <v>10</v>
      </c>
      <c r="P4" s="1">
        <v>10</v>
      </c>
      <c r="Q4" s="1">
        <v>1.5</v>
      </c>
      <c r="R4" s="6">
        <f>(G4-L4)/2200000/123.8*1000/Q4/N4*(O4+P4)/P4*1000</f>
        <v>3.6133303960444509</v>
      </c>
      <c r="S4" s="6">
        <f>(H4-L4)/2200000/123.8*1000/Q4/N4*(O4+P4)/P4*1000</f>
        <v>4.0871395701767268</v>
      </c>
      <c r="T4" s="7">
        <f t="shared" si="10"/>
        <v>3.8502349831105889</v>
      </c>
      <c r="U4" s="5">
        <f t="shared" si="11"/>
        <v>0.33503368001732997</v>
      </c>
      <c r="V4" s="8">
        <f t="shared" si="0"/>
        <v>8.7016424059047353</v>
      </c>
      <c r="W4" s="9">
        <f t="shared" si="1"/>
        <v>5.9510919673196421</v>
      </c>
      <c r="X4" s="6">
        <f t="shared" si="1"/>
        <v>0.51784274224267646</v>
      </c>
      <c r="Y4" s="10">
        <f t="shared" si="2"/>
        <v>0.14282620721567141</v>
      </c>
      <c r="Z4" s="11">
        <f t="shared" si="2"/>
        <v>1.2428225813824235E-2</v>
      </c>
      <c r="AA4" s="12">
        <f t="shared" si="3"/>
        <v>11.902183934639284</v>
      </c>
      <c r="AB4" s="13">
        <f t="shared" si="3"/>
        <v>1.0356854844853529</v>
      </c>
      <c r="AC4" s="17">
        <f t="shared" si="12"/>
        <v>1.2441307248751864E-7</v>
      </c>
      <c r="AD4" s="18">
        <f t="shared" si="13"/>
        <v>0.12441307248751864</v>
      </c>
      <c r="AE4" s="21">
        <f t="shared" si="14"/>
        <v>33.875446583204116</v>
      </c>
      <c r="AF4" s="24">
        <f t="shared" si="15"/>
        <v>3.3875446583204121E-8</v>
      </c>
      <c r="AG4" s="24"/>
      <c r="AH4" s="25">
        <f t="shared" si="4"/>
        <v>5.1132749559553389E-9</v>
      </c>
      <c r="AI4" s="25"/>
      <c r="AJ4" s="31">
        <v>1.0532150776053214E-6</v>
      </c>
      <c r="AK4" s="26">
        <f t="shared" si="16"/>
        <v>0.4854920010812333</v>
      </c>
      <c r="AL4" s="1">
        <v>3</v>
      </c>
    </row>
    <row r="5" spans="1:39" x14ac:dyDescent="0.25">
      <c r="C5" s="1">
        <v>4</v>
      </c>
      <c r="D5" s="17">
        <v>164000</v>
      </c>
      <c r="E5" s="32">
        <f t="shared" si="5"/>
        <v>1.968E-6</v>
      </c>
      <c r="F5" s="1">
        <v>11</v>
      </c>
      <c r="G5" s="2">
        <v>1545.8</v>
      </c>
      <c r="H5" s="2">
        <v>1669.8</v>
      </c>
      <c r="I5" s="2">
        <f t="shared" si="6"/>
        <v>1607.8</v>
      </c>
      <c r="J5" s="2">
        <f t="shared" si="7"/>
        <v>87.681240867131891</v>
      </c>
      <c r="K5" s="2">
        <v>234.6</v>
      </c>
      <c r="L5" s="2">
        <f t="shared" si="8"/>
        <v>234.6</v>
      </c>
      <c r="M5" s="2">
        <f t="shared" si="9"/>
        <v>1373.2</v>
      </c>
      <c r="N5" s="5">
        <v>2</v>
      </c>
      <c r="O5" s="1">
        <v>10</v>
      </c>
      <c r="P5" s="1">
        <v>10</v>
      </c>
      <c r="Q5" s="1">
        <v>1.5</v>
      </c>
      <c r="R5" s="6">
        <f>(G5-L5)/2200000/123.8*1000/Q5/N5*(O5+P5)/P5*1000</f>
        <v>3.2094776521270871</v>
      </c>
      <c r="S5" s="6">
        <f>(H5-L5)/2200000/123.8*1000/Q5/N5*(O5+P5)/P5*1000</f>
        <v>3.5129975033044496</v>
      </c>
      <c r="T5" s="7">
        <f t="shared" si="10"/>
        <v>3.3612375777157686</v>
      </c>
      <c r="U5" s="5">
        <f t="shared" si="11"/>
        <v>0.21462094499224471</v>
      </c>
      <c r="V5" s="8">
        <f t="shared" si="0"/>
        <v>6.3851762938487946</v>
      </c>
      <c r="W5" s="9">
        <f t="shared" si="1"/>
        <v>5.1952761420387068</v>
      </c>
      <c r="X5" s="6">
        <f t="shared" si="1"/>
        <v>0.33172754062143778</v>
      </c>
      <c r="Y5" s="10">
        <f t="shared" si="2"/>
        <v>0.12468662740892895</v>
      </c>
      <c r="Z5" s="11">
        <f t="shared" si="2"/>
        <v>7.9614609749145068E-3</v>
      </c>
      <c r="AA5" s="12">
        <f t="shared" si="3"/>
        <v>10.390552284077414</v>
      </c>
      <c r="AB5" s="13">
        <f t="shared" si="3"/>
        <v>0.66345508124287556</v>
      </c>
      <c r="AC5" s="17">
        <f t="shared" si="12"/>
        <v>6.3357026122423251E-8</v>
      </c>
      <c r="AD5" s="18">
        <f t="shared" si="13"/>
        <v>6.3357026122423249E-2</v>
      </c>
      <c r="AE5" s="21">
        <f t="shared" si="14"/>
        <v>29.573110346989559</v>
      </c>
      <c r="AF5" s="24">
        <f t="shared" si="15"/>
        <v>2.957311034698956E-8</v>
      </c>
      <c r="AG5" s="24"/>
      <c r="AH5" s="25">
        <f t="shared" si="4"/>
        <v>4.4638657127531411E-9</v>
      </c>
      <c r="AI5" s="25"/>
      <c r="AJ5" s="31">
        <v>4.8226164079822617E-7</v>
      </c>
      <c r="AK5" s="26">
        <f t="shared" si="16"/>
        <v>0.92561077538007663</v>
      </c>
      <c r="AL5" s="1">
        <v>4</v>
      </c>
    </row>
    <row r="6" spans="1:39" x14ac:dyDescent="0.25">
      <c r="C6" s="1">
        <v>5</v>
      </c>
      <c r="D6" s="17">
        <v>86666.666666666672</v>
      </c>
      <c r="E6" s="32">
        <f t="shared" si="5"/>
        <v>1.0400000000000002E-6</v>
      </c>
      <c r="F6" s="1">
        <v>11</v>
      </c>
      <c r="G6" s="15">
        <v>30447.78</v>
      </c>
      <c r="H6" s="2">
        <v>11299.98</v>
      </c>
      <c r="I6" s="2">
        <f t="shared" si="6"/>
        <v>20873.879999999997</v>
      </c>
      <c r="J6" s="2">
        <f t="shared" si="7"/>
        <v>13539.539224803777</v>
      </c>
      <c r="K6" s="2">
        <v>9559.26</v>
      </c>
      <c r="L6" s="2">
        <f t="shared" ref="L6:L25" si="17">K6</f>
        <v>9559.26</v>
      </c>
      <c r="M6" s="2">
        <f t="shared" ref="M6:M25" si="18">I6-L6</f>
        <v>11314.619999999997</v>
      </c>
      <c r="N6" s="5">
        <v>2</v>
      </c>
      <c r="O6" s="1">
        <v>10</v>
      </c>
      <c r="P6" s="1">
        <v>10</v>
      </c>
      <c r="Q6" s="1">
        <v>1.5</v>
      </c>
      <c r="R6" s="16">
        <f>(G6-L6)/2200000/123.8*1000/Q6/N6*(O6+P6)/P6*1000</f>
        <v>51.129681304156257</v>
      </c>
      <c r="S6" s="6">
        <f>(H6-L6)/2200000/123.8*1000/Q6/N6*(O6+P6)/P6*1000</f>
        <v>4.2608312527537073</v>
      </c>
      <c r="T6" s="7">
        <f>AVERAGE(S6)</f>
        <v>4.2608312527537073</v>
      </c>
      <c r="U6" s="5"/>
      <c r="V6" s="8">
        <f t="shared" ref="V6" si="19">(U6/T6)*100</f>
        <v>0</v>
      </c>
      <c r="W6" s="9">
        <f t="shared" ref="W6" si="20">(T6*131.2)/0.073*0.86/1000</f>
        <v>6.5857275604206347</v>
      </c>
      <c r="X6" s="6">
        <f>(U6*131.2)/0.073*0.86/1000</f>
        <v>0</v>
      </c>
      <c r="Y6" s="10">
        <f t="shared" ref="Y6" si="21">(W6*24)/1000</f>
        <v>0.15805746145009522</v>
      </c>
      <c r="Z6" s="11">
        <f>(X6*24)/1000</f>
        <v>0</v>
      </c>
      <c r="AA6" s="12">
        <f t="shared" ref="AA6" si="22">(Y6/12)*1000</f>
        <v>13.171455120841268</v>
      </c>
      <c r="AB6" s="13">
        <f>(Z6/12)*1000</f>
        <v>0</v>
      </c>
      <c r="AC6" s="17">
        <f t="shared" si="12"/>
        <v>1.5197832831739924E-7</v>
      </c>
      <c r="AD6" s="18">
        <f t="shared" si="13"/>
        <v>0.15197832831739924</v>
      </c>
      <c r="AE6" s="21">
        <f t="shared" si="14"/>
        <v>37.487987651625147</v>
      </c>
      <c r="AF6" s="24">
        <f t="shared" si="15"/>
        <v>3.748798765162515E-8</v>
      </c>
      <c r="AG6" s="24"/>
      <c r="AH6" s="25">
        <f t="shared" si="4"/>
        <v>5.6585641738302111E-9</v>
      </c>
      <c r="AI6" s="25"/>
      <c r="AJ6" s="31">
        <v>6.5964523281596449E-7</v>
      </c>
      <c r="AK6" s="26">
        <f t="shared" si="16"/>
        <v>0.85781930836888243</v>
      </c>
      <c r="AL6" s="1">
        <v>5</v>
      </c>
    </row>
    <row r="7" spans="1:39" x14ac:dyDescent="0.25">
      <c r="C7" s="1">
        <v>6</v>
      </c>
      <c r="D7" s="17">
        <v>150000</v>
      </c>
      <c r="E7" s="32">
        <f t="shared" si="5"/>
        <v>1.8000000000000001E-6</v>
      </c>
      <c r="F7" s="1">
        <v>11</v>
      </c>
      <c r="G7" s="2">
        <v>7083.34</v>
      </c>
      <c r="H7" s="2">
        <v>7571.35</v>
      </c>
      <c r="I7" s="2">
        <f t="shared" si="6"/>
        <v>7327.3450000000003</v>
      </c>
      <c r="J7" s="2">
        <f t="shared" si="7"/>
        <v>345.07518028684723</v>
      </c>
      <c r="K7" s="2">
        <v>510.19</v>
      </c>
      <c r="L7" s="2">
        <f t="shared" si="17"/>
        <v>510.19</v>
      </c>
      <c r="M7" s="2">
        <f t="shared" si="18"/>
        <v>6817.1550000000007</v>
      </c>
      <c r="N7" s="5">
        <v>2</v>
      </c>
      <c r="O7" s="1">
        <v>10</v>
      </c>
      <c r="P7" s="1">
        <v>10</v>
      </c>
      <c r="Q7" s="1">
        <v>1.5</v>
      </c>
      <c r="R7" s="6">
        <f t="shared" ref="R7:R9" si="23">(G7-L7)/2200000/123.8*1000/Q7/N7*(O7+P7)/P7*1000</f>
        <v>16.089367014245852</v>
      </c>
      <c r="S7" s="6">
        <f t="shared" ref="S7:S9" si="24">(H7-L7)/2200000/123.8*1000/Q7/N7*(O7+P7)/P7*1000</f>
        <v>17.283888970480248</v>
      </c>
      <c r="T7" s="7">
        <f t="shared" ref="T7:T9" si="25">AVERAGE(R7:S7)</f>
        <v>16.68662799236305</v>
      </c>
      <c r="U7" s="5">
        <f t="shared" ref="U7:U9" si="26">STDEV(R7:S7)</f>
        <v>0.84465457552956213</v>
      </c>
      <c r="V7" s="8">
        <f t="shared" ref="V7:V9" si="27">(U7/T7)*100</f>
        <v>5.0618649610702313</v>
      </c>
      <c r="W7" s="9">
        <f t="shared" ref="W7:W9" si="28">(T7*131.2)/0.073*0.86/1000</f>
        <v>25.791583693620652</v>
      </c>
      <c r="X7" s="6">
        <f t="shared" ref="X7:X9" si="29">(U7*131.2)/0.073*0.86/1000</f>
        <v>1.3055351378924871</v>
      </c>
      <c r="Y7" s="10">
        <f t="shared" ref="Y7:Y9" si="30">(W7*24)/1000</f>
        <v>0.61899800864689569</v>
      </c>
      <c r="Z7" s="11">
        <f t="shared" ref="Z7:Z9" si="31">(X7*24)/1000</f>
        <v>3.133284330941969E-2</v>
      </c>
      <c r="AA7" s="12">
        <f t="shared" ref="AA7:AA9" si="32">(Y7/12)*1000</f>
        <v>51.583167387241311</v>
      </c>
      <c r="AB7" s="13">
        <f t="shared" ref="AB7:AB9" si="33">(Z7/12)*1000</f>
        <v>2.6110702757849742</v>
      </c>
      <c r="AC7" s="17">
        <f t="shared" si="12"/>
        <v>3.4388778258160876E-7</v>
      </c>
      <c r="AD7" s="18">
        <f t="shared" si="13"/>
        <v>0.34388778258160874</v>
      </c>
      <c r="AE7" s="21">
        <f t="shared" si="14"/>
        <v>146.8136302559945</v>
      </c>
      <c r="AF7" s="24">
        <f t="shared" si="15"/>
        <v>1.4681363025599449E-7</v>
      </c>
      <c r="AG7" s="24"/>
      <c r="AH7" s="25">
        <f t="shared" si="4"/>
        <v>2.216054796316898E-8</v>
      </c>
      <c r="AI7" s="25"/>
      <c r="AJ7" s="31">
        <v>4.1574279379157427E-7</v>
      </c>
      <c r="AK7" s="26">
        <f t="shared" si="16"/>
        <v>5.3303504700742455</v>
      </c>
      <c r="AL7" s="1">
        <v>6</v>
      </c>
    </row>
    <row r="8" spans="1:39" x14ac:dyDescent="0.25">
      <c r="C8" s="1">
        <v>7</v>
      </c>
      <c r="D8" s="17">
        <v>157333.33333333334</v>
      </c>
      <c r="E8" s="32">
        <f t="shared" si="5"/>
        <v>1.8880000000000002E-6</v>
      </c>
      <c r="F8" s="1">
        <v>11</v>
      </c>
      <c r="G8" s="2">
        <v>19435.25</v>
      </c>
      <c r="H8" s="2">
        <v>19834.13</v>
      </c>
      <c r="I8" s="2">
        <f t="shared" si="6"/>
        <v>19634.690000000002</v>
      </c>
      <c r="J8" s="2">
        <f t="shared" si="7"/>
        <v>282.05075287969078</v>
      </c>
      <c r="K8" s="2">
        <v>16543.46</v>
      </c>
      <c r="L8" s="2">
        <f t="shared" si="17"/>
        <v>16543.46</v>
      </c>
      <c r="M8" s="2">
        <f t="shared" si="18"/>
        <v>3091.2300000000032</v>
      </c>
      <c r="N8" s="5">
        <v>2</v>
      </c>
      <c r="O8" s="1">
        <v>10</v>
      </c>
      <c r="P8" s="1">
        <v>10</v>
      </c>
      <c r="Q8" s="1">
        <v>1.5</v>
      </c>
      <c r="R8" s="6">
        <f t="shared" si="23"/>
        <v>7.0783521809369976</v>
      </c>
      <c r="S8" s="6">
        <f t="shared" si="24"/>
        <v>8.0547070054339898</v>
      </c>
      <c r="T8" s="7">
        <f t="shared" si="25"/>
        <v>7.5665295931854937</v>
      </c>
      <c r="U8" s="5">
        <f t="shared" si="26"/>
        <v>0.69038711724602464</v>
      </c>
      <c r="V8" s="8">
        <f t="shared" si="27"/>
        <v>9.1242241075458885</v>
      </c>
      <c r="W8" s="9">
        <f t="shared" si="28"/>
        <v>11.695159822716514</v>
      </c>
      <c r="X8" s="6">
        <f t="shared" si="29"/>
        <v>1.0670925919603211</v>
      </c>
      <c r="Y8" s="10">
        <f t="shared" si="30"/>
        <v>0.28068383574519634</v>
      </c>
      <c r="Z8" s="11">
        <f t="shared" si="31"/>
        <v>2.5610222207047704E-2</v>
      </c>
      <c r="AA8" s="12">
        <f t="shared" si="32"/>
        <v>23.390319645433031</v>
      </c>
      <c r="AB8" s="13">
        <f t="shared" si="33"/>
        <v>2.1341851839206418</v>
      </c>
      <c r="AC8" s="17">
        <f t="shared" si="12"/>
        <v>1.4866728588198959E-7</v>
      </c>
      <c r="AD8" s="18">
        <f t="shared" si="13"/>
        <v>0.1486672858819896</v>
      </c>
      <c r="AE8" s="21">
        <f t="shared" si="14"/>
        <v>66.572448221617094</v>
      </c>
      <c r="AF8" s="24">
        <f t="shared" si="15"/>
        <v>6.6572448221617097E-8</v>
      </c>
      <c r="AG8" s="24"/>
      <c r="AH8" s="25">
        <f t="shared" si="4"/>
        <v>1.0048671429678053E-8</v>
      </c>
      <c r="AI8" s="25"/>
      <c r="AJ8" s="31">
        <v>3.8248337028824835E-7</v>
      </c>
      <c r="AK8" s="26">
        <f t="shared" si="16"/>
        <v>2.6272178636433634</v>
      </c>
      <c r="AL8" s="1">
        <v>7</v>
      </c>
    </row>
    <row r="9" spans="1:39" x14ac:dyDescent="0.25">
      <c r="C9" s="1">
        <v>8</v>
      </c>
      <c r="D9" s="17">
        <v>74666.666666666672</v>
      </c>
      <c r="E9" s="32">
        <f t="shared" si="5"/>
        <v>8.9600000000000008E-7</v>
      </c>
      <c r="F9" s="1">
        <v>4</v>
      </c>
      <c r="G9" s="2">
        <v>9028.73</v>
      </c>
      <c r="H9" s="2">
        <v>7733.52</v>
      </c>
      <c r="I9" s="2">
        <f t="shared" si="6"/>
        <v>8381.125</v>
      </c>
      <c r="J9" s="2">
        <f t="shared" si="7"/>
        <v>915.85177406062758</v>
      </c>
      <c r="K9" s="2">
        <v>449.03</v>
      </c>
      <c r="L9" s="2">
        <f t="shared" si="17"/>
        <v>449.03</v>
      </c>
      <c r="M9" s="2">
        <f t="shared" si="18"/>
        <v>7932.0950000000003</v>
      </c>
      <c r="N9" s="5">
        <v>2</v>
      </c>
      <c r="O9" s="1">
        <v>10</v>
      </c>
      <c r="P9" s="1">
        <v>10</v>
      </c>
      <c r="Q9" s="1">
        <v>1.5</v>
      </c>
      <c r="R9" s="6">
        <f t="shared" si="23"/>
        <v>21.000881186664706</v>
      </c>
      <c r="S9" s="6">
        <f t="shared" si="24"/>
        <v>17.830542908895094</v>
      </c>
      <c r="T9" s="7">
        <f t="shared" si="25"/>
        <v>19.415712047779898</v>
      </c>
      <c r="U9" s="5">
        <f t="shared" si="26"/>
        <v>2.2417676948661733</v>
      </c>
      <c r="V9" s="8">
        <f t="shared" si="27"/>
        <v>11.54615236026077</v>
      </c>
      <c r="W9" s="9">
        <f t="shared" si="28"/>
        <v>30.009775640754814</v>
      </c>
      <c r="X9" s="6">
        <f t="shared" si="29"/>
        <v>3.464974418453973</v>
      </c>
      <c r="Y9" s="10">
        <f t="shared" si="30"/>
        <v>0.72023461537811562</v>
      </c>
      <c r="Z9" s="11">
        <f t="shared" si="31"/>
        <v>8.3159386042895356E-2</v>
      </c>
      <c r="AA9" s="12">
        <f t="shared" si="32"/>
        <v>60.019551281509635</v>
      </c>
      <c r="AB9" s="13">
        <f t="shared" si="33"/>
        <v>6.9299488369079469</v>
      </c>
      <c r="AC9" s="17">
        <f t="shared" si="12"/>
        <v>8.0383327609164689E-7</v>
      </c>
      <c r="AD9" s="18">
        <f t="shared" si="13"/>
        <v>0.8038332760916469</v>
      </c>
      <c r="AE9" s="21">
        <f t="shared" si="14"/>
        <v>170.82487672429664</v>
      </c>
      <c r="AF9" s="24">
        <f t="shared" si="15"/>
        <v>1.7082487672429665E-7</v>
      </c>
      <c r="AG9" s="24"/>
      <c r="AH9" s="25">
        <f t="shared" si="4"/>
        <v>2.5784887052724022E-8</v>
      </c>
      <c r="AI9" s="25"/>
      <c r="AJ9" s="31">
        <v>4.7117516629711756E-7</v>
      </c>
      <c r="AK9" s="26">
        <f t="shared" si="16"/>
        <v>5.4724630874251918</v>
      </c>
      <c r="AL9" s="1">
        <v>8</v>
      </c>
    </row>
    <row r="10" spans="1:39" x14ac:dyDescent="0.25">
      <c r="C10" s="1">
        <v>9</v>
      </c>
      <c r="D10" s="17">
        <v>73000</v>
      </c>
      <c r="E10" s="32">
        <f t="shared" si="5"/>
        <v>8.7600000000000006E-7</v>
      </c>
      <c r="F10" s="1">
        <v>4</v>
      </c>
      <c r="G10" s="2">
        <v>18228.669999999998</v>
      </c>
      <c r="H10" s="2">
        <v>21371.43</v>
      </c>
      <c r="I10" s="2">
        <f t="shared" si="6"/>
        <v>19800.05</v>
      </c>
      <c r="J10" s="2">
        <f t="shared" si="7"/>
        <v>2222.2669076418356</v>
      </c>
      <c r="K10" s="2">
        <v>8433.9</v>
      </c>
      <c r="L10" s="2">
        <f t="shared" si="17"/>
        <v>8433.9</v>
      </c>
      <c r="M10" s="2">
        <f t="shared" si="18"/>
        <v>11366.15</v>
      </c>
      <c r="N10" s="5">
        <v>2</v>
      </c>
      <c r="O10" s="1">
        <v>10</v>
      </c>
      <c r="P10" s="1">
        <v>10</v>
      </c>
      <c r="Q10" s="1">
        <v>1.5</v>
      </c>
      <c r="R10" s="6">
        <f t="shared" ref="R10:R12" si="34">(G10-L10)/2200000/123.8*1000/Q10/N10*(O10+P10)/P10*1000</f>
        <v>23.975057521907274</v>
      </c>
      <c r="S10" s="6">
        <f t="shared" ref="S10:S12" si="35">(H10-L10)/2200000/123.8*1000/Q10/N10*(O10+P10)/P10*1000</f>
        <v>31.667719195182848</v>
      </c>
      <c r="T10" s="7">
        <f t="shared" ref="T10:T12" si="36">AVERAGE(R10:S10)</f>
        <v>27.821388358545061</v>
      </c>
      <c r="U10" s="5">
        <f t="shared" ref="U10:U12" si="37">STDEV(R10:S10)</f>
        <v>5.4395332345470306</v>
      </c>
      <c r="V10" s="8">
        <f t="shared" ref="V10:V12" si="38">(U10/T10)*100</f>
        <v>19.551623968026497</v>
      </c>
      <c r="W10" s="9">
        <f t="shared" ref="W10:W12" si="39">(T10*131.2)/0.073*0.86/1000</f>
        <v>43.001957414676113</v>
      </c>
      <c r="X10" s="6">
        <f t="shared" ref="X10:X12" si="40">(U10*131.2)/0.073*0.86/1000</f>
        <v>8.4075810126083628</v>
      </c>
      <c r="Y10" s="10">
        <f t="shared" ref="Y10:Y12" si="41">(W10*24)/1000</f>
        <v>1.0320469779522268</v>
      </c>
      <c r="Z10" s="11">
        <f t="shared" ref="Z10:Z12" si="42">(X10*24)/1000</f>
        <v>0.20178194430260071</v>
      </c>
      <c r="AA10" s="12">
        <f t="shared" ref="AA10:AA12" si="43">(Y10/12)*1000</f>
        <v>86.003914829352226</v>
      </c>
      <c r="AB10" s="13">
        <f t="shared" ref="AB10:AB12" si="44">(Z10/12)*1000</f>
        <v>16.815162025216726</v>
      </c>
      <c r="AC10" s="17">
        <f t="shared" si="12"/>
        <v>1.1781358195801674E-6</v>
      </c>
      <c r="AD10" s="18">
        <f t="shared" si="13"/>
        <v>1.1781358195801674</v>
      </c>
      <c r="AE10" s="21">
        <f t="shared" si="14"/>
        <v>244.78037297584862</v>
      </c>
      <c r="AF10" s="24">
        <f t="shared" si="15"/>
        <v>2.4478037297584863E-7</v>
      </c>
      <c r="AG10" s="24"/>
      <c r="AH10" s="25">
        <f t="shared" si="4"/>
        <v>3.6947980826543188E-8</v>
      </c>
      <c r="AI10" s="25"/>
      <c r="AJ10" s="31">
        <v>5.9312638580931264E-7</v>
      </c>
      <c r="AK10" s="26">
        <f t="shared" si="16"/>
        <v>6.2293605057087769</v>
      </c>
      <c r="AL10" s="1">
        <v>9</v>
      </c>
    </row>
    <row r="11" spans="1:39" x14ac:dyDescent="0.25">
      <c r="C11" s="1">
        <v>10</v>
      </c>
      <c r="D11" s="17">
        <v>87666.666666666672</v>
      </c>
      <c r="E11" s="32">
        <f t="shared" si="5"/>
        <v>1.052E-6</v>
      </c>
      <c r="F11" s="1">
        <v>4</v>
      </c>
      <c r="G11" s="2">
        <v>9879.7900000000009</v>
      </c>
      <c r="H11" s="2">
        <v>9832.7000000000007</v>
      </c>
      <c r="I11" s="2">
        <f t="shared" si="6"/>
        <v>9856.2450000000008</v>
      </c>
      <c r="J11" s="2">
        <f t="shared" si="7"/>
        <v>33.297658326074625</v>
      </c>
      <c r="K11" s="2">
        <v>274.79000000000002</v>
      </c>
      <c r="L11" s="2">
        <f t="shared" si="17"/>
        <v>274.79000000000002</v>
      </c>
      <c r="M11" s="2">
        <f t="shared" si="18"/>
        <v>9581.4549999999999</v>
      </c>
      <c r="N11" s="5">
        <v>2</v>
      </c>
      <c r="O11" s="1">
        <v>10</v>
      </c>
      <c r="P11" s="1">
        <v>10</v>
      </c>
      <c r="Q11" s="1">
        <v>1.5</v>
      </c>
      <c r="R11" s="6">
        <f t="shared" si="34"/>
        <v>23.510549762569152</v>
      </c>
      <c r="S11" s="6">
        <f t="shared" si="35"/>
        <v>23.395285651343812</v>
      </c>
      <c r="T11" s="7">
        <f t="shared" si="36"/>
        <v>23.452917706956484</v>
      </c>
      <c r="U11" s="5">
        <f t="shared" si="37"/>
        <v>8.1504034674878267E-2</v>
      </c>
      <c r="V11" s="8">
        <f t="shared" si="38"/>
        <v>0.34752194031151595</v>
      </c>
      <c r="W11" s="9">
        <f t="shared" si="39"/>
        <v>36.249857680976909</v>
      </c>
      <c r="X11" s="6">
        <f t="shared" si="40"/>
        <v>0.12597620877309401</v>
      </c>
      <c r="Y11" s="10">
        <f t="shared" si="41"/>
        <v>0.86999658434344584</v>
      </c>
      <c r="Z11" s="11">
        <f t="shared" si="42"/>
        <v>3.0234290105542565E-3</v>
      </c>
      <c r="AA11" s="12">
        <f t="shared" si="43"/>
        <v>72.499715361953818</v>
      </c>
      <c r="AB11" s="13">
        <f t="shared" si="44"/>
        <v>0.25195241754618808</v>
      </c>
      <c r="AC11" s="17">
        <f t="shared" si="12"/>
        <v>8.2699295089681151E-7</v>
      </c>
      <c r="AD11" s="18">
        <f t="shared" si="13"/>
        <v>0.82699295089681146</v>
      </c>
      <c r="AE11" s="21">
        <f t="shared" si="14"/>
        <v>206.34534372248396</v>
      </c>
      <c r="AF11" s="24">
        <f t="shared" si="15"/>
        <v>2.0634534372248396E-7</v>
      </c>
      <c r="AG11" s="24"/>
      <c r="AH11" s="25">
        <f t="shared" si="4"/>
        <v>3.114646697697871E-8</v>
      </c>
      <c r="AI11" s="25"/>
      <c r="AJ11" s="31">
        <v>1.6740576496674058E-6</v>
      </c>
      <c r="AK11" s="26">
        <f t="shared" si="16"/>
        <v>1.8605372988897215</v>
      </c>
      <c r="AL11" s="1">
        <v>10</v>
      </c>
    </row>
    <row r="12" spans="1:39" x14ac:dyDescent="0.25">
      <c r="C12" s="1">
        <v>11</v>
      </c>
      <c r="D12" s="17">
        <v>104333.33333333333</v>
      </c>
      <c r="E12" s="32">
        <f t="shared" si="5"/>
        <v>1.252E-6</v>
      </c>
      <c r="F12" s="1">
        <v>4</v>
      </c>
      <c r="G12" s="2">
        <v>10585.71</v>
      </c>
      <c r="H12" s="2">
        <v>8868.9</v>
      </c>
      <c r="I12" s="2">
        <f t="shared" si="6"/>
        <v>9727.3050000000003</v>
      </c>
      <c r="J12" s="2">
        <f t="shared" si="7"/>
        <v>1213.9679930088764</v>
      </c>
      <c r="K12" s="2">
        <v>280.25</v>
      </c>
      <c r="L12" s="2">
        <f t="shared" si="17"/>
        <v>280.25</v>
      </c>
      <c r="M12" s="2">
        <f t="shared" si="18"/>
        <v>9447.0550000000003</v>
      </c>
      <c r="N12" s="5">
        <v>2</v>
      </c>
      <c r="O12" s="1">
        <v>10</v>
      </c>
      <c r="P12" s="1">
        <v>10</v>
      </c>
      <c r="Q12" s="1">
        <v>1.5</v>
      </c>
      <c r="R12" s="6">
        <f t="shared" si="34"/>
        <v>25.225094238018311</v>
      </c>
      <c r="S12" s="6">
        <f t="shared" si="35"/>
        <v>21.022788466245657</v>
      </c>
      <c r="T12" s="7">
        <f t="shared" si="36"/>
        <v>23.123941352131986</v>
      </c>
      <c r="U12" s="5">
        <f t="shared" si="37"/>
        <v>2.9714789078398116</v>
      </c>
      <c r="V12" s="8">
        <f t="shared" si="38"/>
        <v>12.850226795640296</v>
      </c>
      <c r="W12" s="9">
        <f t="shared" si="39"/>
        <v>35.741377406078847</v>
      </c>
      <c r="X12" s="6">
        <f t="shared" si="40"/>
        <v>4.5928480565668712</v>
      </c>
      <c r="Y12" s="10">
        <f t="shared" si="41"/>
        <v>0.85779305774589243</v>
      </c>
      <c r="Z12" s="11">
        <f t="shared" si="42"/>
        <v>0.11022835335760491</v>
      </c>
      <c r="AA12" s="12">
        <f t="shared" si="43"/>
        <v>71.482754812157694</v>
      </c>
      <c r="AB12" s="13">
        <f t="shared" si="44"/>
        <v>9.1856961131337425</v>
      </c>
      <c r="AC12" s="17">
        <f t="shared" si="12"/>
        <v>6.8513822503665522E-7</v>
      </c>
      <c r="AD12" s="18">
        <f t="shared" si="13"/>
        <v>0.68513822503665522</v>
      </c>
      <c r="AE12" s="21">
        <f t="shared" si="14"/>
        <v>203.45091754229497</v>
      </c>
      <c r="AF12" s="24">
        <f t="shared" si="15"/>
        <v>2.0345091754229498E-7</v>
      </c>
      <c r="AG12" s="24"/>
      <c r="AH12" s="25">
        <f t="shared" si="4"/>
        <v>3.0709572459214337E-8</v>
      </c>
      <c r="AI12" s="25"/>
      <c r="AJ12" s="31">
        <v>1.3580931263858093E-6</v>
      </c>
      <c r="AK12" s="26">
        <f t="shared" si="16"/>
        <v>2.2612272945478638</v>
      </c>
      <c r="AL12" s="1">
        <v>11</v>
      </c>
    </row>
    <row r="13" spans="1:39" x14ac:dyDescent="0.25">
      <c r="A13" s="1" t="s">
        <v>33</v>
      </c>
      <c r="C13" s="1">
        <v>13</v>
      </c>
      <c r="D13" s="17">
        <v>95333.333333333328</v>
      </c>
      <c r="E13" s="32">
        <f t="shared" si="5"/>
        <v>1.1440000000000002E-6</v>
      </c>
      <c r="F13" s="1">
        <v>4</v>
      </c>
      <c r="G13" s="2">
        <v>20335.02</v>
      </c>
      <c r="H13" s="2">
        <v>20006.830000000002</v>
      </c>
      <c r="I13" s="2">
        <f t="shared" si="6"/>
        <v>20170.925000000003</v>
      </c>
      <c r="J13" s="2">
        <f t="shared" si="7"/>
        <v>232.0653745176121</v>
      </c>
      <c r="K13" s="2">
        <v>965.24</v>
      </c>
      <c r="L13" s="2">
        <f t="shared" si="17"/>
        <v>965.24</v>
      </c>
      <c r="M13" s="2">
        <f t="shared" si="18"/>
        <v>19205.685000000001</v>
      </c>
      <c r="N13" s="5">
        <v>2</v>
      </c>
      <c r="O13" s="1">
        <v>10</v>
      </c>
      <c r="P13" s="1">
        <v>10</v>
      </c>
      <c r="Q13" s="1">
        <v>1.5</v>
      </c>
      <c r="R13" s="6">
        <f t="shared" ref="R13" si="45">(G13-L13)/2200000/123.8*1000/Q13/N13*(O13+P13)/P13*1000</f>
        <v>47.412199539824748</v>
      </c>
      <c r="S13" s="6">
        <f t="shared" ref="S13" si="46">(H13-L13)/2200000/123.8*1000/Q13/N13*(O13+P13)/P13*1000</f>
        <v>46.608875507906212</v>
      </c>
      <c r="T13" s="7">
        <f t="shared" ref="T13" si="47">AVERAGE(R13:S13)</f>
        <v>47.01053752386548</v>
      </c>
      <c r="U13" s="5">
        <f t="shared" ref="U13" si="48">STDEV(R13:S13)</f>
        <v>0.56803587045971493</v>
      </c>
      <c r="V13" s="8">
        <f t="shared" ref="V13" si="49">(U13/T13)*100</f>
        <v>1.2083160507819009</v>
      </c>
      <c r="W13" s="9">
        <f t="shared" ref="W13" si="50">(T13*131.2)/0.073*0.86/1000</f>
        <v>72.661547532777945</v>
      </c>
      <c r="X13" s="6">
        <f t="shared" ref="X13" si="51">(U13*131.2)/0.073*0.86/1000</f>
        <v>0.87798114158507612</v>
      </c>
      <c r="Y13" s="10">
        <f t="shared" ref="Y13" si="52">(W13*24)/1000</f>
        <v>1.7438771407866707</v>
      </c>
      <c r="Z13" s="11">
        <f t="shared" ref="Z13" si="53">(X13*24)/1000</f>
        <v>2.1071547398041825E-2</v>
      </c>
      <c r="AA13" s="12">
        <f t="shared" ref="AA13" si="54">(Y13/12)*1000</f>
        <v>145.32309506555589</v>
      </c>
      <c r="AB13" s="13">
        <f t="shared" ref="AB13" si="55">(Z13/12)*1000</f>
        <v>1.755962283170152</v>
      </c>
      <c r="AC13" s="17">
        <f t="shared" si="12"/>
        <v>1.5243681300582786E-6</v>
      </c>
      <c r="AD13" s="18">
        <f t="shared" si="13"/>
        <v>1.5243681300582785</v>
      </c>
      <c r="AE13" s="21">
        <f t="shared" si="14"/>
        <v>413.61188595581291</v>
      </c>
      <c r="AF13" s="24">
        <f t="shared" si="15"/>
        <v>4.1361188595581296E-7</v>
      </c>
      <c r="AG13" s="24"/>
      <c r="AH13" s="25">
        <f t="shared" si="4"/>
        <v>6.2431982785783082E-8</v>
      </c>
      <c r="AI13" s="25"/>
      <c r="AJ13" s="31">
        <v>1.0365853658536583E-6</v>
      </c>
      <c r="AK13" s="26">
        <f t="shared" si="16"/>
        <v>6.0228501040402511</v>
      </c>
      <c r="AL13" s="1">
        <v>13</v>
      </c>
    </row>
    <row r="14" spans="1:39" x14ac:dyDescent="0.25">
      <c r="A14" s="3">
        <v>42976</v>
      </c>
      <c r="C14" s="1">
        <v>13.5</v>
      </c>
      <c r="D14" s="17">
        <v>152666.66666666666</v>
      </c>
      <c r="E14" s="32">
        <f t="shared" si="5"/>
        <v>1.832E-6</v>
      </c>
      <c r="F14" s="1">
        <v>4</v>
      </c>
      <c r="G14" s="2">
        <v>161541.70000000001</v>
      </c>
      <c r="H14" s="2">
        <v>188048.7</v>
      </c>
      <c r="I14" s="2">
        <f t="shared" si="6"/>
        <v>174795.2</v>
      </c>
      <c r="J14" s="2">
        <f t="shared" si="7"/>
        <v>18743.279448911817</v>
      </c>
      <c r="K14" s="2">
        <v>444.83</v>
      </c>
      <c r="L14" s="2">
        <f t="shared" si="17"/>
        <v>444.83</v>
      </c>
      <c r="M14" s="2">
        <f t="shared" si="18"/>
        <v>174350.37000000002</v>
      </c>
      <c r="N14" s="5">
        <v>2</v>
      </c>
      <c r="O14" s="1">
        <v>4</v>
      </c>
      <c r="P14" s="1">
        <v>17</v>
      </c>
      <c r="Q14" s="1">
        <v>1.5</v>
      </c>
      <c r="R14" s="6">
        <f>(G14-L14)/2200000/123.8*1000/Q14/N14*(O14+P14)/P14*1000</f>
        <v>243.55267034115755</v>
      </c>
      <c r="S14" s="6">
        <f t="shared" ref="S14" si="56">(H14-L14)/2200000/123.8*1000/Q14/N14*(O14+P14)/P14*1000</f>
        <v>283.62700966713612</v>
      </c>
      <c r="T14" s="7">
        <f t="shared" ref="T14" si="57">AVERAGE(R14:S14)</f>
        <v>263.58984000414682</v>
      </c>
      <c r="U14" s="5">
        <f t="shared" ref="U14" si="58">STDEV(R14:S14)</f>
        <v>28.336837088970185</v>
      </c>
      <c r="V14" s="8">
        <f t="shared" ref="V14" si="59">(U14/T14)*100</f>
        <v>10.750352550964934</v>
      </c>
      <c r="W14" s="9">
        <f t="shared" ref="W14" si="60">(T14*131.2)/0.073*0.86/1000</f>
        <v>407.41601133353282</v>
      </c>
      <c r="X14" s="6">
        <f t="shared" ref="X14" si="61">(U14*131.2)/0.073*0.86/1000</f>
        <v>43.798657567434027</v>
      </c>
      <c r="Y14" s="10">
        <f t="shared" ref="Y14" si="62">(W14*24)/1000</f>
        <v>9.7779842720047867</v>
      </c>
      <c r="Z14" s="11">
        <f t="shared" ref="Z14" si="63">(X14*24)/1000</f>
        <v>1.0511677816184166</v>
      </c>
      <c r="AA14" s="12">
        <f t="shared" ref="AA14" si="64">(Y14/12)*1000</f>
        <v>814.83202266706553</v>
      </c>
      <c r="AB14" s="13">
        <f t="shared" ref="AB14" si="65">(Z14/12)*1000</f>
        <v>87.597315134868055</v>
      </c>
      <c r="AC14" s="17">
        <f t="shared" si="12"/>
        <v>5.3373276593912591E-6</v>
      </c>
      <c r="AD14" s="18">
        <f t="shared" si="13"/>
        <v>5.3373276593912591</v>
      </c>
      <c r="AE14" s="21">
        <f t="shared" si="14"/>
        <v>2319.1372952831862</v>
      </c>
      <c r="AF14" s="24">
        <f t="shared" si="15"/>
        <v>2.3191372952831862E-6</v>
      </c>
      <c r="AG14" s="24"/>
      <c r="AH14" s="25">
        <f t="shared" si="4"/>
        <v>3.5005845966538659E-7</v>
      </c>
      <c r="AI14" s="25"/>
      <c r="AJ14" s="31">
        <v>5.3603104212860309E-6</v>
      </c>
      <c r="AK14" s="26">
        <f t="shared" si="16"/>
        <v>6.5305631978940788</v>
      </c>
      <c r="AL14" s="1">
        <v>13.5</v>
      </c>
    </row>
    <row r="15" spans="1:39" ht="13.9" customHeight="1" x14ac:dyDescent="0.25">
      <c r="C15" s="1">
        <v>14</v>
      </c>
      <c r="D15" s="17">
        <v>742000</v>
      </c>
      <c r="E15" s="32">
        <f t="shared" si="5"/>
        <v>8.9040000000000015E-6</v>
      </c>
      <c r="F15" s="1">
        <v>4</v>
      </c>
      <c r="G15" s="2">
        <v>177509.1</v>
      </c>
      <c r="H15" s="2">
        <v>150233.20000000001</v>
      </c>
      <c r="I15" s="2">
        <f t="shared" ref="I15:I25" si="66">AVERAGE(G15:H15)</f>
        <v>163871.15000000002</v>
      </c>
      <c r="J15" s="2">
        <f t="shared" ref="J15:J25" si="67">STDEV(G15:H15)</f>
        <v>19286.973852966148</v>
      </c>
      <c r="K15" s="2">
        <v>460.09</v>
      </c>
      <c r="L15" s="2">
        <f t="shared" si="17"/>
        <v>460.09</v>
      </c>
      <c r="M15" s="2">
        <f t="shared" si="18"/>
        <v>163411.06000000003</v>
      </c>
      <c r="N15" s="5">
        <v>2</v>
      </c>
      <c r="O15" s="1">
        <v>4</v>
      </c>
      <c r="P15" s="1">
        <v>17</v>
      </c>
      <c r="Q15" s="1">
        <v>1.5</v>
      </c>
      <c r="R15" s="6">
        <f>(G15-L15)/2200000/123.8*1000/Q15/N15*(O15+P15)/P15*1000</f>
        <v>267.66975153991689</v>
      </c>
      <c r="S15" s="6">
        <f t="shared" ref="S15" si="68">(H15-L15)/2200000/123.8*1000/Q15/N15*(O15+P15)/P15*1000</f>
        <v>226.43295854103133</v>
      </c>
      <c r="T15" s="7">
        <f t="shared" ref="T15" si="69">AVERAGE(R15:S15)</f>
        <v>247.05135504047411</v>
      </c>
      <c r="U15" s="5">
        <f t="shared" ref="U15" si="70">STDEV(R15:S15)</f>
        <v>29.158815963897929</v>
      </c>
      <c r="V15" s="8">
        <f t="shared" ref="V15" si="71">(U15/T15)*100</f>
        <v>11.802734682074858</v>
      </c>
      <c r="W15" s="9">
        <f t="shared" ref="W15" si="72">(T15*131.2)/0.073*0.86/1000</f>
        <v>381.8534039989969</v>
      </c>
      <c r="X15" s="6">
        <f t="shared" ref="X15" si="73">(U15*131.2)/0.073*0.86/1000</f>
        <v>45.069144148473022</v>
      </c>
      <c r="Y15" s="10">
        <f t="shared" ref="Y15" si="74">(W15*24)/1000</f>
        <v>9.1644816959759261</v>
      </c>
      <c r="Z15" s="11">
        <f t="shared" ref="Z15" si="75">(X15*24)/1000</f>
        <v>1.0816594595633526</v>
      </c>
      <c r="AA15" s="12">
        <f t="shared" ref="AA15" si="76">(Y15/12)*1000</f>
        <v>763.70680799799379</v>
      </c>
      <c r="AB15" s="13">
        <f t="shared" ref="AB15" si="77">(Z15/12)*1000</f>
        <v>90.138288296946044</v>
      </c>
      <c r="AC15" s="17">
        <f t="shared" si="12"/>
        <v>1.0292544582183204E-6</v>
      </c>
      <c r="AD15" s="18">
        <f t="shared" si="13"/>
        <v>1.0292544582183205</v>
      </c>
      <c r="AE15" s="33">
        <f t="shared" si="14"/>
        <v>2173.6270689173671</v>
      </c>
      <c r="AF15" s="34">
        <f>AE15*10^-9</f>
        <v>2.1736270689173674E-6</v>
      </c>
      <c r="AG15" s="37">
        <v>5.22</v>
      </c>
      <c r="AH15" s="35">
        <f>AF15*16/106</f>
        <v>3.2809465191205544E-7</v>
      </c>
      <c r="AI15" s="40">
        <f>AF15/AG15</f>
        <v>4.1640365304930411E-7</v>
      </c>
      <c r="AJ15" s="36">
        <v>2.2172949002217301E-7</v>
      </c>
      <c r="AK15" s="28">
        <f>AI15/AJ15*100</f>
        <v>187.79804752523609</v>
      </c>
      <c r="AL15" s="29">
        <v>14</v>
      </c>
      <c r="AM15" s="41" t="s">
        <v>51</v>
      </c>
    </row>
    <row r="16" spans="1:39" x14ac:dyDescent="0.25">
      <c r="C16" s="1">
        <v>14.5</v>
      </c>
      <c r="D16" s="17">
        <v>905000</v>
      </c>
      <c r="E16" s="32">
        <f t="shared" si="5"/>
        <v>1.0860000000000001E-5</v>
      </c>
      <c r="F16" s="1">
        <v>4</v>
      </c>
      <c r="G16" s="2">
        <v>162913.9</v>
      </c>
      <c r="H16" s="2">
        <v>179519.2</v>
      </c>
      <c r="I16" s="2">
        <f t="shared" si="66"/>
        <v>171216.55</v>
      </c>
      <c r="J16" s="2">
        <f t="shared" si="67"/>
        <v>11741.72023363699</v>
      </c>
      <c r="K16" s="2">
        <v>509.16</v>
      </c>
      <c r="L16" s="2">
        <f t="shared" si="17"/>
        <v>509.16</v>
      </c>
      <c r="M16" s="2">
        <f t="shared" si="18"/>
        <v>170707.38999999998</v>
      </c>
      <c r="N16" s="5">
        <v>2</v>
      </c>
      <c r="O16" s="1">
        <v>4</v>
      </c>
      <c r="P16" s="1">
        <v>17</v>
      </c>
      <c r="Q16" s="1">
        <v>1.5</v>
      </c>
      <c r="R16" s="6">
        <f t="shared" ref="R16:R21" si="78">(G16-L16)/2200000/123.8*1000/Q16/N16*(O16+P16)/P16*1000</f>
        <v>245.52996034660006</v>
      </c>
      <c r="S16" s="6">
        <f t="shared" ref="S16:S21" si="79">(H16-L16)/2200000/123.8*1000/Q16/N16*(O16+P16)/P16*1000</f>
        <v>270.6345148721847</v>
      </c>
      <c r="T16" s="7">
        <f t="shared" ref="T16:T21" si="80">AVERAGE(R16:S16)</f>
        <v>258.08223760939239</v>
      </c>
      <c r="U16" s="5">
        <f t="shared" ref="U16:U21" si="81">STDEV(R16:S16)</f>
        <v>17.751600743708323</v>
      </c>
      <c r="V16" s="8">
        <f t="shared" ref="V16:V21" si="82">(U16/T16)*100</f>
        <v>6.8782729521182233</v>
      </c>
      <c r="W16" s="9">
        <f t="shared" ref="W16:W21" si="83">(T16*131.2)/0.073*0.86/1000</f>
        <v>398.90321964305429</v>
      </c>
      <c r="X16" s="6">
        <f t="shared" ref="X16:X21" si="84">(U16*131.2)/0.073*0.86/1000</f>
        <v>27.437652261836952</v>
      </c>
      <c r="Y16" s="10">
        <f t="shared" ref="Y16:Y21" si="85">(W16*24)/1000</f>
        <v>9.5736772714333025</v>
      </c>
      <c r="Z16" s="11">
        <f t="shared" ref="Z16:Z21" si="86">(X16*24)/1000</f>
        <v>0.65850365428408686</v>
      </c>
      <c r="AA16" s="12">
        <f t="shared" ref="AA16:AA21" si="87">(Y16/12)*1000</f>
        <v>797.80643928610846</v>
      </c>
      <c r="AB16" s="13">
        <f t="shared" ref="AB16:AB21" si="88">(Z16/12)*1000</f>
        <v>54.875304523673904</v>
      </c>
      <c r="AC16" s="17">
        <f t="shared" si="12"/>
        <v>8.8155407655923584E-7</v>
      </c>
      <c r="AD16" s="18">
        <f t="shared" si="13"/>
        <v>0.88155407655923579</v>
      </c>
      <c r="AE16" s="33">
        <f t="shared" si="14"/>
        <v>2270.6798656604624</v>
      </c>
      <c r="AF16" s="34">
        <f>AE16*10^-9</f>
        <v>2.2706798656604623E-6</v>
      </c>
      <c r="AG16" s="37">
        <v>5.72</v>
      </c>
      <c r="AH16" s="35">
        <f>AF16*16/106</f>
        <v>3.4274413066573016E-7</v>
      </c>
      <c r="AI16" s="40">
        <f>AF16/AG16</f>
        <v>3.9697200448609485E-7</v>
      </c>
      <c r="AJ16" s="36">
        <v>2.8270509977827E-7</v>
      </c>
      <c r="AK16" s="28">
        <f>AI16/AJ16*100</f>
        <v>140.419116880964</v>
      </c>
      <c r="AL16" s="29">
        <v>14.5</v>
      </c>
      <c r="AM16" s="41"/>
    </row>
    <row r="17" spans="1:39" x14ac:dyDescent="0.25">
      <c r="C17" s="1">
        <v>15</v>
      </c>
      <c r="D17" s="17">
        <v>585000</v>
      </c>
      <c r="E17" s="32">
        <f t="shared" si="5"/>
        <v>7.0200000000000006E-6</v>
      </c>
      <c r="F17" s="1">
        <v>4</v>
      </c>
      <c r="G17" s="2">
        <v>208073.7</v>
      </c>
      <c r="H17" s="2">
        <v>206060.7</v>
      </c>
      <c r="I17" s="2">
        <f t="shared" si="66"/>
        <v>207067.2</v>
      </c>
      <c r="J17" s="2">
        <f t="shared" si="67"/>
        <v>1423.4059505285202</v>
      </c>
      <c r="K17" s="2">
        <v>427.84</v>
      </c>
      <c r="L17" s="2">
        <f t="shared" si="17"/>
        <v>427.84</v>
      </c>
      <c r="M17" s="2">
        <f t="shared" si="18"/>
        <v>206639.36000000002</v>
      </c>
      <c r="N17" s="5">
        <v>2</v>
      </c>
      <c r="O17" s="1">
        <v>4</v>
      </c>
      <c r="P17" s="1">
        <v>17</v>
      </c>
      <c r="Q17" s="1">
        <v>1.5</v>
      </c>
      <c r="R17" s="6">
        <f t="shared" si="78"/>
        <v>313.92728914153417</v>
      </c>
      <c r="S17" s="6">
        <f t="shared" si="79"/>
        <v>310.88395549143439</v>
      </c>
      <c r="T17" s="7">
        <f t="shared" si="80"/>
        <v>312.40562231648425</v>
      </c>
      <c r="U17" s="5">
        <f t="shared" si="81"/>
        <v>2.1519618613987639</v>
      </c>
      <c r="V17" s="8">
        <f t="shared" si="82"/>
        <v>0.68883582998346515</v>
      </c>
      <c r="W17" s="9">
        <f t="shared" si="83"/>
        <v>482.86782434539106</v>
      </c>
      <c r="X17" s="6">
        <f t="shared" si="84"/>
        <v>3.3261665855526754</v>
      </c>
      <c r="Y17" s="10">
        <f t="shared" si="85"/>
        <v>11.588827784289386</v>
      </c>
      <c r="Z17" s="11">
        <f t="shared" si="86"/>
        <v>7.982799805326421E-2</v>
      </c>
      <c r="AA17" s="12">
        <f t="shared" si="87"/>
        <v>965.73564869078211</v>
      </c>
      <c r="AB17" s="13">
        <f t="shared" si="88"/>
        <v>6.6523331711053508</v>
      </c>
      <c r="AC17" s="17">
        <f t="shared" si="12"/>
        <v>1.6508301687021917E-6</v>
      </c>
      <c r="AD17" s="18">
        <f t="shared" si="13"/>
        <v>1.6508301687021918</v>
      </c>
      <c r="AE17" s="33">
        <f t="shared" si="14"/>
        <v>2748.632230889149</v>
      </c>
      <c r="AF17" s="34">
        <f>AE17*10^-9</f>
        <v>2.7486322308891492E-6</v>
      </c>
      <c r="AG17" s="37">
        <v>5.97</v>
      </c>
      <c r="AH17" s="35">
        <f t="shared" si="4"/>
        <v>4.148878839077961E-7</v>
      </c>
      <c r="AI17" s="40">
        <f t="shared" ref="AI17" si="89">AF17/AG17</f>
        <v>4.6040740885915399E-7</v>
      </c>
      <c r="AJ17" s="36">
        <v>2.77161862527716E-8</v>
      </c>
      <c r="AK17" s="28">
        <f>AI17/AJ17*100</f>
        <v>1661.1499311638288</v>
      </c>
      <c r="AL17" s="29">
        <v>15</v>
      </c>
      <c r="AM17" s="41"/>
    </row>
    <row r="18" spans="1:39" ht="13.9" customHeight="1" x14ac:dyDescent="0.25">
      <c r="C18" s="1">
        <v>15.5</v>
      </c>
      <c r="D18" s="17">
        <v>461000</v>
      </c>
      <c r="E18" s="32">
        <f t="shared" si="5"/>
        <v>5.5320000000000006E-6</v>
      </c>
      <c r="F18" s="1">
        <v>4</v>
      </c>
      <c r="G18" s="2">
        <v>220408.1</v>
      </c>
      <c r="H18" s="2">
        <v>206348.2</v>
      </c>
      <c r="I18" s="2">
        <f t="shared" si="66"/>
        <v>213378.15000000002</v>
      </c>
      <c r="J18" s="2">
        <f t="shared" si="67"/>
        <v>9941.8506328047351</v>
      </c>
      <c r="K18" s="2">
        <v>980.4</v>
      </c>
      <c r="L18" s="2">
        <f t="shared" si="17"/>
        <v>980.4</v>
      </c>
      <c r="M18" s="2">
        <f t="shared" si="18"/>
        <v>212397.75000000003</v>
      </c>
      <c r="N18" s="5">
        <v>2</v>
      </c>
      <c r="O18" s="1">
        <v>4</v>
      </c>
      <c r="P18" s="1">
        <v>17</v>
      </c>
      <c r="Q18" s="1">
        <v>1.5</v>
      </c>
      <c r="R18" s="6">
        <f t="shared" si="78"/>
        <v>331.73954454744154</v>
      </c>
      <c r="S18" s="6">
        <f t="shared" si="79"/>
        <v>310.48322721657325</v>
      </c>
      <c r="T18" s="7">
        <f t="shared" si="80"/>
        <v>321.11138588200743</v>
      </c>
      <c r="U18" s="5">
        <f t="shared" si="81"/>
        <v>15.030486127710098</v>
      </c>
      <c r="V18" s="8">
        <f t="shared" si="82"/>
        <v>4.680770221344023</v>
      </c>
      <c r="W18" s="9">
        <f t="shared" si="83"/>
        <v>496.32383413477618</v>
      </c>
      <c r="X18" s="6">
        <f t="shared" si="84"/>
        <v>23.231778229613504</v>
      </c>
      <c r="Y18" s="10">
        <f t="shared" si="85"/>
        <v>11.911772019234627</v>
      </c>
      <c r="Z18" s="11">
        <f t="shared" si="86"/>
        <v>0.55756267751072419</v>
      </c>
      <c r="AA18" s="12">
        <f t="shared" si="87"/>
        <v>992.64766826955236</v>
      </c>
      <c r="AB18" s="13">
        <f t="shared" si="88"/>
        <v>46.463556459227014</v>
      </c>
      <c r="AC18" s="17">
        <f t="shared" si="12"/>
        <v>2.1532487381118274E-6</v>
      </c>
      <c r="AD18" s="18">
        <f t="shared" si="13"/>
        <v>2.1532487381118273</v>
      </c>
      <c r="AE18" s="33">
        <f t="shared" si="14"/>
        <v>2825.2279789210334</v>
      </c>
      <c r="AF18" s="34">
        <f>AE18*10^-9</f>
        <v>2.8252279789210337E-6</v>
      </c>
      <c r="AG18" s="37">
        <v>5.56</v>
      </c>
      <c r="AH18" s="35">
        <f t="shared" si="4"/>
        <v>4.264495062522315E-7</v>
      </c>
      <c r="AI18" s="40">
        <f>AF18/AG18</f>
        <v>5.0813452858291976E-7</v>
      </c>
      <c r="AJ18" s="36">
        <v>3.9578713968957897E-6</v>
      </c>
      <c r="AK18" s="28">
        <f>AH18/AJ18*100</f>
        <v>10.774718617353294</v>
      </c>
      <c r="AL18" s="29">
        <v>15.5</v>
      </c>
      <c r="AM18" s="41"/>
    </row>
    <row r="19" spans="1:39" x14ac:dyDescent="0.25">
      <c r="C19" s="1">
        <v>16</v>
      </c>
      <c r="D19" s="17">
        <v>434666.66666666669</v>
      </c>
      <c r="E19" s="32">
        <f t="shared" si="5"/>
        <v>5.2160000000000005E-6</v>
      </c>
      <c r="F19" s="1">
        <v>4</v>
      </c>
      <c r="G19" s="2">
        <v>169179.8</v>
      </c>
      <c r="H19" s="2">
        <v>162825.29999999999</v>
      </c>
      <c r="I19" s="2">
        <f t="shared" si="66"/>
        <v>166002.54999999999</v>
      </c>
      <c r="J19" s="2">
        <f t="shared" si="67"/>
        <v>4493.3100410499164</v>
      </c>
      <c r="K19" s="2">
        <v>495.77</v>
      </c>
      <c r="L19" s="2">
        <f t="shared" si="17"/>
        <v>495.77</v>
      </c>
      <c r="M19" s="2">
        <f t="shared" si="18"/>
        <v>165506.78</v>
      </c>
      <c r="N19" s="5">
        <v>2</v>
      </c>
      <c r="O19" s="1">
        <v>4</v>
      </c>
      <c r="P19" s="1">
        <v>17</v>
      </c>
      <c r="Q19" s="1">
        <v>1.5</v>
      </c>
      <c r="R19" s="6">
        <f t="shared" si="78"/>
        <v>255.02324129828173</v>
      </c>
      <c r="S19" s="6">
        <f t="shared" si="79"/>
        <v>245.41625487028415</v>
      </c>
      <c r="T19" s="7">
        <f t="shared" si="80"/>
        <v>250.21974808428294</v>
      </c>
      <c r="U19" s="5">
        <f t="shared" si="81"/>
        <v>6.7931652500042192</v>
      </c>
      <c r="V19" s="8">
        <f t="shared" si="82"/>
        <v>2.7148797415126635</v>
      </c>
      <c r="W19" s="9">
        <f t="shared" si="83"/>
        <v>386.75061117596999</v>
      </c>
      <c r="X19" s="6">
        <f t="shared" si="84"/>
        <v>10.499813992992824</v>
      </c>
      <c r="Y19" s="10">
        <f t="shared" si="85"/>
        <v>9.2820146682232814</v>
      </c>
      <c r="Z19" s="11">
        <f t="shared" si="86"/>
        <v>0.25199553583182777</v>
      </c>
      <c r="AA19" s="12">
        <f t="shared" si="87"/>
        <v>773.5012223519401</v>
      </c>
      <c r="AB19" s="13">
        <f t="shared" si="88"/>
        <v>20.999627985985647</v>
      </c>
      <c r="AC19" s="17">
        <f t="shared" si="12"/>
        <v>1.7795273520366718E-6</v>
      </c>
      <c r="AD19" s="18">
        <f t="shared" si="13"/>
        <v>1.7795273520366719</v>
      </c>
      <c r="AE19" s="21">
        <f t="shared" si="14"/>
        <v>2201.5034790016753</v>
      </c>
      <c r="AF19" s="24">
        <f t="shared" si="15"/>
        <v>2.2015034790016755E-6</v>
      </c>
      <c r="AG19" s="24"/>
      <c r="AH19" s="25">
        <f t="shared" si="4"/>
        <v>3.3230241192478119E-7</v>
      </c>
      <c r="AI19" s="25"/>
      <c r="AJ19" s="31">
        <v>7.7439024390243892E-6</v>
      </c>
      <c r="AK19" s="26">
        <f t="shared" si="16"/>
        <v>4.2911492563515052</v>
      </c>
      <c r="AL19" s="1">
        <v>16</v>
      </c>
      <c r="AM19" s="41"/>
    </row>
    <row r="20" spans="1:39" x14ac:dyDescent="0.25">
      <c r="C20" s="1">
        <v>17</v>
      </c>
      <c r="D20" s="17">
        <v>450666.66666666669</v>
      </c>
      <c r="E20" s="32">
        <f t="shared" si="5"/>
        <v>5.4080000000000006E-6</v>
      </c>
      <c r="F20" s="1">
        <v>4</v>
      </c>
      <c r="G20" s="2">
        <v>106836.1</v>
      </c>
      <c r="H20" s="2">
        <v>114507.6</v>
      </c>
      <c r="I20" s="2">
        <f t="shared" si="66"/>
        <v>110671.85</v>
      </c>
      <c r="J20" s="2">
        <f t="shared" si="67"/>
        <v>5424.5696718725994</v>
      </c>
      <c r="K20" s="2">
        <v>394.05</v>
      </c>
      <c r="L20" s="2">
        <f t="shared" si="17"/>
        <v>394.05</v>
      </c>
      <c r="M20" s="2">
        <f t="shared" si="18"/>
        <v>110277.8</v>
      </c>
      <c r="N20" s="5">
        <v>2</v>
      </c>
      <c r="O20" s="1">
        <v>4</v>
      </c>
      <c r="P20" s="1">
        <v>17</v>
      </c>
      <c r="Q20" s="1">
        <v>1.5</v>
      </c>
      <c r="R20" s="6">
        <f t="shared" si="78"/>
        <v>160.92333460039913</v>
      </c>
      <c r="S20" s="6">
        <f t="shared" si="79"/>
        <v>172.52141413181519</v>
      </c>
      <c r="T20" s="7">
        <f t="shared" si="80"/>
        <v>166.72237436610715</v>
      </c>
      <c r="U20" s="5">
        <f t="shared" si="81"/>
        <v>8.2010806854051932</v>
      </c>
      <c r="V20" s="8">
        <f t="shared" si="82"/>
        <v>4.9190042527803541</v>
      </c>
      <c r="W20" s="9">
        <f t="shared" si="83"/>
        <v>257.69341019830961</v>
      </c>
      <c r="X20" s="6">
        <f t="shared" si="84"/>
        <v>12.67594980678957</v>
      </c>
      <c r="Y20" s="10">
        <f t="shared" si="85"/>
        <v>6.1846418447594305</v>
      </c>
      <c r="Z20" s="11">
        <f t="shared" si="86"/>
        <v>0.30422279536294966</v>
      </c>
      <c r="AA20" s="12">
        <f t="shared" si="87"/>
        <v>515.38682039661921</v>
      </c>
      <c r="AB20" s="13">
        <f t="shared" si="88"/>
        <v>25.351899613579139</v>
      </c>
      <c r="AC20" s="17">
        <f t="shared" si="12"/>
        <v>1.1436098085723799E-6</v>
      </c>
      <c r="AD20" s="18">
        <f t="shared" si="13"/>
        <v>1.1436098085723798</v>
      </c>
      <c r="AE20" s="21">
        <f t="shared" si="14"/>
        <v>1466.8701811288392</v>
      </c>
      <c r="AF20" s="24">
        <f t="shared" si="15"/>
        <v>1.4668701811288392E-6</v>
      </c>
      <c r="AG20" s="24"/>
      <c r="AH20" s="25">
        <f t="shared" si="4"/>
        <v>2.2141436696284366E-7</v>
      </c>
      <c r="AI20" s="25"/>
      <c r="AJ20" s="31">
        <v>9.2184035476718402E-6</v>
      </c>
      <c r="AK20" s="26">
        <f t="shared" si="16"/>
        <v>2.4018732291098615</v>
      </c>
      <c r="AL20" s="1">
        <v>17</v>
      </c>
      <c r="AM20" s="41"/>
    </row>
    <row r="21" spans="1:39" x14ac:dyDescent="0.25">
      <c r="C21" s="1">
        <v>19</v>
      </c>
      <c r="D21" s="17">
        <v>397000</v>
      </c>
      <c r="E21" s="32">
        <f t="shared" si="5"/>
        <v>4.7640000000000005E-6</v>
      </c>
      <c r="F21" s="1">
        <v>4</v>
      </c>
      <c r="G21" s="2">
        <v>99385.96</v>
      </c>
      <c r="H21" s="2">
        <v>98309.2</v>
      </c>
      <c r="I21" s="2">
        <f t="shared" si="66"/>
        <v>98847.58</v>
      </c>
      <c r="J21" s="2">
        <f t="shared" si="67"/>
        <v>761.38429771043343</v>
      </c>
      <c r="K21" s="2">
        <v>422.67</v>
      </c>
      <c r="L21" s="2">
        <f t="shared" si="17"/>
        <v>422.67</v>
      </c>
      <c r="M21" s="2">
        <f t="shared" si="18"/>
        <v>98424.91</v>
      </c>
      <c r="N21" s="5">
        <v>2</v>
      </c>
      <c r="O21" s="1">
        <v>4</v>
      </c>
      <c r="P21" s="1">
        <v>17</v>
      </c>
      <c r="Q21" s="1">
        <v>1.5</v>
      </c>
      <c r="R21" s="6">
        <f t="shared" si="78"/>
        <v>149.61664708474078</v>
      </c>
      <c r="S21" s="6">
        <f t="shared" si="79"/>
        <v>147.98875839071127</v>
      </c>
      <c r="T21" s="7">
        <f t="shared" si="80"/>
        <v>148.80270273772601</v>
      </c>
      <c r="U21" s="5">
        <f t="shared" si="81"/>
        <v>1.151091134565178</v>
      </c>
      <c r="V21" s="8">
        <f t="shared" si="82"/>
        <v>0.77356870096240626</v>
      </c>
      <c r="W21" s="9">
        <f t="shared" si="83"/>
        <v>229.99598020963148</v>
      </c>
      <c r="X21" s="6">
        <f t="shared" si="84"/>
        <v>1.7791769163733993</v>
      </c>
      <c r="Y21" s="10">
        <f t="shared" si="85"/>
        <v>5.5199035250311557</v>
      </c>
      <c r="Z21" s="11">
        <f t="shared" si="86"/>
        <v>4.2700245992961586E-2</v>
      </c>
      <c r="AA21" s="12">
        <f t="shared" si="87"/>
        <v>459.99196041926297</v>
      </c>
      <c r="AB21" s="13">
        <f t="shared" si="88"/>
        <v>3.558353832746799</v>
      </c>
      <c r="AC21" s="17">
        <f t="shared" si="12"/>
        <v>1.1586699254893274E-6</v>
      </c>
      <c r="AD21" s="18">
        <f t="shared" si="13"/>
        <v>1.1586699254893273</v>
      </c>
      <c r="AE21" s="21">
        <f t="shared" si="14"/>
        <v>1309.207887347133</v>
      </c>
      <c r="AF21" s="24">
        <f t="shared" si="15"/>
        <v>1.3092078873471332E-6</v>
      </c>
      <c r="AG21" s="24"/>
      <c r="AH21" s="25">
        <f t="shared" si="4"/>
        <v>1.9761628488258613E-7</v>
      </c>
      <c r="AI21" s="25"/>
      <c r="AJ21" s="31">
        <v>1.4545454545454545E-5</v>
      </c>
      <c r="AK21" s="26">
        <f t="shared" si="16"/>
        <v>1.3586119585677796</v>
      </c>
      <c r="AL21" s="1">
        <v>19</v>
      </c>
      <c r="AM21" s="41"/>
    </row>
    <row r="22" spans="1:39" x14ac:dyDescent="0.25">
      <c r="A22" s="1" t="s">
        <v>35</v>
      </c>
      <c r="C22" s="1">
        <v>3</v>
      </c>
      <c r="D22" s="19" t="s">
        <v>29</v>
      </c>
      <c r="E22" s="19"/>
      <c r="F22" s="1">
        <v>11</v>
      </c>
      <c r="G22" s="2">
        <v>2697.29</v>
      </c>
      <c r="H22" s="2">
        <v>3252.12</v>
      </c>
      <c r="I22" s="2">
        <f t="shared" si="66"/>
        <v>2974.7049999999999</v>
      </c>
      <c r="J22" s="2">
        <f t="shared" si="67"/>
        <v>392.32405540573211</v>
      </c>
      <c r="K22" s="2">
        <v>615.29</v>
      </c>
      <c r="L22" s="2">
        <f t="shared" si="17"/>
        <v>615.29</v>
      </c>
      <c r="M22" s="2">
        <f t="shared" si="18"/>
        <v>2359.415</v>
      </c>
      <c r="N22" s="5">
        <v>2</v>
      </c>
      <c r="O22" s="2">
        <v>20</v>
      </c>
      <c r="P22" s="2">
        <v>10</v>
      </c>
      <c r="Q22" s="1">
        <v>1.5</v>
      </c>
      <c r="R22" s="6">
        <f>(G22-L22)/2200000/123.8*1000/Q22/N22*(O22+P22)/P22*1000</f>
        <v>7.644294316346012</v>
      </c>
      <c r="S22" s="6">
        <f t="shared" ref="S22:S25" si="90">(H22-L22)/2200000/123.8*1000/Q22/N22*(O22+P22)/P22*1000</f>
        <v>9.6814143045968581</v>
      </c>
      <c r="T22" s="7">
        <f t="shared" ref="T22:T25" si="91">AVERAGE(R22:S22)</f>
        <v>8.6628543104714346</v>
      </c>
      <c r="U22" s="5">
        <f t="shared" ref="U22:U25" si="92">STDEV(R22:S22)</f>
        <v>1.4404613577828418</v>
      </c>
      <c r="V22" s="8">
        <f t="shared" ref="V22:V25" si="93">(U22/T22)*100</f>
        <v>16.628022429531679</v>
      </c>
      <c r="W22" s="9">
        <f t="shared" ref="W22:W25" si="94">(T22*131.2)/0.073*0.86/1000</f>
        <v>13.389687363823462</v>
      </c>
      <c r="X22" s="6">
        <f t="shared" ref="X22:X25" si="95">(U22*131.2)/0.073*0.86/1000</f>
        <v>2.2264402181007346</v>
      </c>
      <c r="Y22" s="10">
        <f t="shared" ref="Y22:Y25" si="96">(W22*24)/1000</f>
        <v>0.32135249673176308</v>
      </c>
      <c r="Z22" s="11">
        <f t="shared" ref="Z22:Z25" si="97">(X22*24)/1000</f>
        <v>5.3434565234417634E-2</v>
      </c>
      <c r="AA22" s="12">
        <f t="shared" ref="AA22:AA24" si="98">(Y22/12)*1000</f>
        <v>26.779374727646925</v>
      </c>
      <c r="AB22" s="13">
        <f t="shared" ref="AB22:AB25" si="99">(Z22/12)*1000</f>
        <v>4.4528804362014691</v>
      </c>
      <c r="AC22" s="17"/>
      <c r="AD22" s="20"/>
      <c r="AE22" s="23" t="s">
        <v>40</v>
      </c>
      <c r="AH22"/>
      <c r="AI22"/>
    </row>
    <row r="23" spans="1:39" x14ac:dyDescent="0.25">
      <c r="C23" s="1">
        <v>3</v>
      </c>
      <c r="D23" s="19" t="s">
        <v>30</v>
      </c>
      <c r="E23" s="19"/>
      <c r="F23" s="1">
        <v>11</v>
      </c>
      <c r="G23" s="1">
        <v>10486.6</v>
      </c>
      <c r="H23" s="1">
        <v>10354.44</v>
      </c>
      <c r="I23" s="2">
        <f t="shared" si="66"/>
        <v>10420.52</v>
      </c>
      <c r="J23" s="2">
        <f t="shared" si="67"/>
        <v>93.451232201614019</v>
      </c>
      <c r="K23" s="2">
        <v>515.21</v>
      </c>
      <c r="L23" s="2">
        <f t="shared" si="17"/>
        <v>515.21</v>
      </c>
      <c r="M23" s="2">
        <f t="shared" si="18"/>
        <v>9905.3100000000013</v>
      </c>
      <c r="N23" s="5">
        <v>2</v>
      </c>
      <c r="O23" s="1">
        <v>4</v>
      </c>
      <c r="P23" s="1">
        <v>17</v>
      </c>
      <c r="Q23" s="1">
        <v>1.5</v>
      </c>
      <c r="R23" s="6">
        <f t="shared" ref="R23:R25" si="100">(G23-L23)/2200000/123.8*1000/Q23/N23*(O23+P23)/P23*1000</f>
        <v>15.075144920650001</v>
      </c>
      <c r="S23" s="6">
        <f t="shared" si="90"/>
        <v>14.875340163969833</v>
      </c>
      <c r="T23" s="7">
        <f t="shared" si="91"/>
        <v>14.975242542309918</v>
      </c>
      <c r="U23" s="5">
        <f t="shared" si="92"/>
        <v>0.14128329836187473</v>
      </c>
      <c r="V23" s="8">
        <f t="shared" si="93"/>
        <v>0.94344581039474706</v>
      </c>
      <c r="W23" s="9">
        <f t="shared" si="94"/>
        <v>23.146391322382364</v>
      </c>
      <c r="X23" s="6">
        <f t="shared" si="95"/>
        <v>0.2183736591885897</v>
      </c>
      <c r="Y23" s="10">
        <f t="shared" si="96"/>
        <v>0.55551339173717684</v>
      </c>
      <c r="Z23" s="11">
        <f t="shared" si="97"/>
        <v>5.2409678205261531E-3</v>
      </c>
      <c r="AA23" s="12">
        <f t="shared" si="98"/>
        <v>46.292782644764742</v>
      </c>
      <c r="AB23" s="13">
        <f t="shared" si="99"/>
        <v>0.43674731837717939</v>
      </c>
      <c r="AC23" s="17"/>
      <c r="AD23" s="20"/>
      <c r="AE23" s="30" t="s">
        <v>47</v>
      </c>
      <c r="AH23"/>
      <c r="AI23"/>
    </row>
    <row r="24" spans="1:39" x14ac:dyDescent="0.25">
      <c r="C24" s="1">
        <v>3</v>
      </c>
      <c r="D24" s="19" t="s">
        <v>31</v>
      </c>
      <c r="E24" s="19"/>
      <c r="F24" s="1">
        <v>11</v>
      </c>
      <c r="G24" s="2">
        <v>2968.23</v>
      </c>
      <c r="H24" s="2">
        <v>1579.69</v>
      </c>
      <c r="I24" s="2">
        <f t="shared" si="66"/>
        <v>2273.96</v>
      </c>
      <c r="J24" s="2">
        <f t="shared" si="67"/>
        <v>981.8460499487685</v>
      </c>
      <c r="K24" s="2">
        <v>442.68</v>
      </c>
      <c r="L24" s="2">
        <f t="shared" si="17"/>
        <v>442.68</v>
      </c>
      <c r="M24" s="2">
        <f t="shared" si="18"/>
        <v>1831.28</v>
      </c>
      <c r="N24" s="5">
        <v>2</v>
      </c>
      <c r="O24" s="2">
        <v>30</v>
      </c>
      <c r="P24" s="2">
        <v>10</v>
      </c>
      <c r="Q24" s="1">
        <v>1.5</v>
      </c>
      <c r="R24" s="6">
        <f t="shared" si="100"/>
        <v>12.36378322808048</v>
      </c>
      <c r="S24" s="6">
        <f t="shared" si="90"/>
        <v>5.5662113868898997</v>
      </c>
      <c r="T24" s="7">
        <f t="shared" si="91"/>
        <v>8.9649973074851896</v>
      </c>
      <c r="U24" s="5">
        <f t="shared" si="92"/>
        <v>4.8066091445085837</v>
      </c>
      <c r="V24" s="8">
        <f t="shared" si="93"/>
        <v>53.615288210910869</v>
      </c>
      <c r="W24" s="9">
        <f t="shared" si="94"/>
        <v>13.85669282463245</v>
      </c>
      <c r="X24" s="6">
        <f t="shared" si="95"/>
        <v>7.429305794427294</v>
      </c>
      <c r="Y24" s="10">
        <f t="shared" si="96"/>
        <v>0.33256062779117884</v>
      </c>
      <c r="Z24" s="11">
        <f t="shared" si="97"/>
        <v>0.17830333906625506</v>
      </c>
      <c r="AA24" s="12">
        <f t="shared" si="98"/>
        <v>27.713385649264904</v>
      </c>
      <c r="AB24" s="13">
        <f t="shared" si="99"/>
        <v>14.85861158885459</v>
      </c>
      <c r="AC24" s="17"/>
      <c r="AD24" s="20"/>
      <c r="AE24" s="20"/>
    </row>
    <row r="25" spans="1:39" x14ac:dyDescent="0.25">
      <c r="C25" s="1">
        <v>3</v>
      </c>
      <c r="D25" s="19" t="s">
        <v>32</v>
      </c>
      <c r="E25" s="19"/>
      <c r="F25" s="1">
        <v>11</v>
      </c>
      <c r="G25" s="2">
        <v>15359.06</v>
      </c>
      <c r="H25" s="2">
        <v>19834.099999999999</v>
      </c>
      <c r="I25" s="2">
        <f t="shared" si="66"/>
        <v>17596.579999999998</v>
      </c>
      <c r="J25" s="2">
        <f t="shared" si="67"/>
        <v>3164.3311300810687</v>
      </c>
      <c r="K25" s="2">
        <v>448.87</v>
      </c>
      <c r="L25" s="2">
        <f t="shared" si="17"/>
        <v>448.87</v>
      </c>
      <c r="M25" s="2">
        <f t="shared" si="18"/>
        <v>17147.71</v>
      </c>
      <c r="N25" s="18">
        <v>4</v>
      </c>
      <c r="O25" s="1">
        <v>4</v>
      </c>
      <c r="P25" s="1">
        <v>17</v>
      </c>
      <c r="Q25" s="1">
        <v>1.5</v>
      </c>
      <c r="R25" s="6">
        <f t="shared" si="100"/>
        <v>11.270909825231309</v>
      </c>
      <c r="S25" s="6">
        <f t="shared" si="90"/>
        <v>14.653681762027766</v>
      </c>
      <c r="T25" s="7">
        <f t="shared" si="91"/>
        <v>12.962295793629536</v>
      </c>
      <c r="U25" s="5">
        <f t="shared" si="92"/>
        <v>2.3919809757163257</v>
      </c>
      <c r="V25" s="8">
        <f t="shared" si="93"/>
        <v>18.453374416065181</v>
      </c>
      <c r="W25" s="9">
        <f t="shared" si="94"/>
        <v>20.035092588860383</v>
      </c>
      <c r="X25" s="6">
        <f t="shared" si="95"/>
        <v>3.6971506500277322</v>
      </c>
      <c r="Y25" s="10">
        <f t="shared" si="96"/>
        <v>0.48084222213264921</v>
      </c>
      <c r="Z25" s="11">
        <f t="shared" si="97"/>
        <v>8.8731615600665573E-2</v>
      </c>
      <c r="AA25" s="12">
        <f>(Y25/12)*1000</f>
        <v>40.070185177720766</v>
      </c>
      <c r="AB25" s="13">
        <f t="shared" si="99"/>
        <v>7.3943013000554645</v>
      </c>
      <c r="AC25" s="17"/>
      <c r="AD25" s="20"/>
      <c r="AE25" s="22" t="s">
        <v>36</v>
      </c>
    </row>
    <row r="26" spans="1:39" x14ac:dyDescent="0.25">
      <c r="G26" s="2"/>
      <c r="H26" s="2"/>
      <c r="I26" s="2"/>
      <c r="J26" s="2"/>
      <c r="K26" s="2"/>
      <c r="L26" s="2"/>
      <c r="M26" s="2"/>
      <c r="AE26" s="22" t="s">
        <v>37</v>
      </c>
    </row>
    <row r="27" spans="1:39" x14ac:dyDescent="0.25">
      <c r="G27" s="2"/>
      <c r="H27" s="2"/>
      <c r="I27" s="2"/>
      <c r="J27" s="2"/>
      <c r="K27" s="2"/>
      <c r="L27" s="2"/>
      <c r="M27" s="2"/>
      <c r="AE27" s="22" t="s">
        <v>38</v>
      </c>
    </row>
    <row r="28" spans="1:39" x14ac:dyDescent="0.25">
      <c r="G28" s="2"/>
      <c r="H28" s="2"/>
      <c r="I28" s="2"/>
      <c r="J28" s="2"/>
      <c r="K28" s="2"/>
      <c r="L28" s="2"/>
      <c r="M28" s="2"/>
      <c r="AE28" s="22" t="s">
        <v>42</v>
      </c>
    </row>
    <row r="29" spans="1:39" x14ac:dyDescent="0.25">
      <c r="G29" s="2"/>
      <c r="H29" s="2"/>
      <c r="I29" s="2"/>
      <c r="J29" s="2"/>
      <c r="K29" s="2"/>
      <c r="L29" s="2"/>
      <c r="M29" s="2"/>
      <c r="AE29" s="22" t="s">
        <v>43</v>
      </c>
    </row>
    <row r="30" spans="1:39" x14ac:dyDescent="0.25">
      <c r="G30" s="2"/>
      <c r="H30" s="2"/>
      <c r="I30" s="2"/>
      <c r="J30" s="2"/>
      <c r="K30" s="2"/>
      <c r="L30" s="2"/>
      <c r="M30" s="2"/>
    </row>
    <row r="31" spans="1:39" x14ac:dyDescent="0.25">
      <c r="G31" s="2"/>
      <c r="H31" s="2"/>
      <c r="I31" s="2"/>
      <c r="J31" s="2"/>
      <c r="K31" s="2"/>
      <c r="L31" s="2"/>
      <c r="M31" s="2"/>
    </row>
    <row r="32" spans="1:39" x14ac:dyDescent="0.25">
      <c r="G32" s="2"/>
      <c r="H32" s="2"/>
      <c r="I32" s="2"/>
      <c r="J32" s="2"/>
      <c r="K32" s="2"/>
      <c r="L32" s="2"/>
      <c r="M32" s="2"/>
    </row>
  </sheetData>
  <mergeCells count="1">
    <mergeCell ref="AM15:AM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Fourquez</dc:creator>
  <cp:lastModifiedBy>jaspreet singh</cp:lastModifiedBy>
  <dcterms:created xsi:type="dcterms:W3CDTF">2017-09-06T16:09:21Z</dcterms:created>
  <dcterms:modified xsi:type="dcterms:W3CDTF">2022-04-27T08:21:15Z</dcterms:modified>
</cp:coreProperties>
</file>