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公式" sheetId="1" r:id="rId1"/>
    <sheet name="演算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<sst xmlns="http://schemas.openxmlformats.org/spreadsheetml/2006/main" count="53" uniqueCount="41">
  <si>
    <t>项目</t>
  </si>
  <si>
    <t>期间利率</t>
  </si>
  <si>
    <t>期数/年</t>
  </si>
  <si>
    <t>每期金额</t>
  </si>
  <si>
    <t>期末金额</t>
  </si>
  <si>
    <t>期初金额</t>
  </si>
  <si>
    <t>是否预付</t>
  </si>
  <si>
    <t>年金现值</t>
  </si>
  <si>
    <t>年金终值</t>
  </si>
  <si>
    <t>校验现值</t>
  </si>
  <si>
    <t>年金</t>
  </si>
  <si>
    <t>现值比例</t>
  </si>
  <si>
    <t>终值比例</t>
  </si>
  <si>
    <t>比例</t>
  </si>
  <si>
    <t>剩余年限</t>
  </si>
  <si>
    <t>基准年限</t>
  </si>
  <si>
    <t>修正系数</t>
  </si>
  <si>
    <t>市场参照物</t>
  </si>
  <si>
    <t>剩余使用年限（年）</t>
  </si>
  <si>
    <t>二手市场售价（元）</t>
  </si>
  <si>
    <t>年租金净收入（元）</t>
  </si>
  <si>
    <t>投资回收率</t>
  </si>
  <si>
    <t>资本化率</t>
  </si>
  <si>
    <t>投资回收系数</t>
  </si>
  <si>
    <t xml:space="preserve"> </t>
  </si>
  <si>
    <t>均值</t>
  </si>
  <si>
    <t>本化率</t>
  </si>
  <si>
    <t>年度</t>
  </si>
  <si>
    <t>净收益</t>
  </si>
  <si>
    <t>公顷</t>
  </si>
  <si>
    <r>
      <t>竹材（株</t>
    </r>
    <r>
      <rPr>
        <sz val="10.5"/>
        <color rgb="FF333333"/>
        <rFont val="宋体"/>
        <charset val="134"/>
        <scheme val="minor"/>
      </rPr>
      <t>/公顷）</t>
    </r>
  </si>
  <si>
    <r>
      <t>竹笋（公斤</t>
    </r>
    <r>
      <rPr>
        <sz val="10.5"/>
        <color rgb="FF333333"/>
        <rFont val="宋体"/>
        <charset val="134"/>
        <scheme val="minor"/>
      </rPr>
      <t>/公顷）</t>
    </r>
  </si>
  <si>
    <t>每年施肥</t>
  </si>
  <si>
    <t>每年抚育</t>
  </si>
  <si>
    <t>每年除草</t>
  </si>
  <si>
    <t>每年管护</t>
  </si>
  <si>
    <t>每年地租</t>
  </si>
  <si>
    <t>培育总成本</t>
  </si>
  <si>
    <t>每年收益</t>
  </si>
  <si>
    <t>折现率</t>
  </si>
  <si>
    <t>折现额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</si>
</sst>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* #,##0.0000_ ;_ * \-#,##0.0000_ ;_ * &quot;-&quot;????_ ;_ @_ "/>
    <numFmt numFmtId="177" formatCode="0.0000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0" borderId="1" xfId="0" applyFont="1" applyBorder="1">
      <alignment vertical="center"/>
    </xf>
    <xf numFmtId="176" fontId="0" fillId="0" borderId="1" xfId="0" applyNumberFormat="1" applyFont="1" applyBorder="1">
      <alignment vertical="center"/>
    </xf>
    <xf numFmtId="43" fontId="0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3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eetMetadata" Target="metadata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I7" sqref="I7"/>
    </sheetView>
  </sheetViews>
  <sheetFormatPr defaultColWidth="9" defaultRowHeight="25" customHeight="1"/>
  <cols>
    <col min="1" max="1" width="8.375" style="15" customWidth="1"/>
    <col min="2" max="7" width="8.875" style="15" customWidth="1"/>
    <col min="8" max="8" width="12.625" customWidth="1"/>
    <col min="9" max="9" width="13.75" customWidth="1"/>
    <col min="10" max="10" width="8.875" customWidth="1"/>
  </cols>
  <sheetData>
    <row r="1" customHeight="1" spans="1:10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</row>
    <row r="2" customHeight="1" spans="1:10">
      <c r="A2" s="16" t="s">
        <v>10</v>
      </c>
      <c r="B2" s="17">
        <v>0.05</v>
      </c>
      <c r="C2" s="16">
        <v>8</v>
      </c>
      <c r="D2" s="16">
        <v>3000</v>
      </c>
      <c r="E2" s="16"/>
      <c r="F2" s="16"/>
      <c r="G2" s="16" t="b">
        <v>0</v>
      </c>
      <c r="H2" s="18">
        <f>-PV(B2,C2,D2,E2,G2)+F2</f>
        <v>19389.6382782788</v>
      </c>
      <c r="I2" s="18">
        <f>-FV(B2,C2,D2,F2,G2)+E2</f>
        <v>28647.3266273438</v>
      </c>
      <c r="J2" s="18" t="b">
        <f>I2/(1+B2)^C2=H2</f>
        <v>1</v>
      </c>
    </row>
    <row r="4" customHeight="1" spans="1:7">
      <c r="A4" s="16" t="s">
        <v>0</v>
      </c>
      <c r="B4" s="16" t="s">
        <v>1</v>
      </c>
      <c r="C4" s="16" t="s">
        <v>2</v>
      </c>
      <c r="D4" s="16" t="s">
        <v>6</v>
      </c>
      <c r="E4" s="16" t="s">
        <v>11</v>
      </c>
      <c r="F4" s="16" t="s">
        <v>12</v>
      </c>
      <c r="G4" s="16" t="s">
        <v>9</v>
      </c>
    </row>
    <row r="5" customHeight="1" spans="1:7">
      <c r="A5" s="16" t="s">
        <v>13</v>
      </c>
      <c r="B5" s="17">
        <v>0.05</v>
      </c>
      <c r="C5" s="16">
        <v>8</v>
      </c>
      <c r="D5" s="16" t="b">
        <v>0</v>
      </c>
      <c r="E5" s="18">
        <f>ROUND((1-(1+B5)^(-C5))/B5*IF(D5=0,1,1+B5),6)</f>
        <v>6.786373</v>
      </c>
      <c r="F5" s="18">
        <f>((1+B5)^C5-1)/B5*IF(D5=0,1,1+B5)</f>
        <v>10.0265643195703</v>
      </c>
      <c r="G5" s="18" t="b">
        <f>ROUND(F5/(1+B5)^C5,6)=E5</f>
        <v>1</v>
      </c>
    </row>
    <row r="7" customHeight="1" spans="1:8">
      <c r="A7" s="16" t="s">
        <v>0</v>
      </c>
      <c r="B7" s="16" t="s">
        <v>1</v>
      </c>
      <c r="C7" s="16" t="s">
        <v>14</v>
      </c>
      <c r="D7" s="16" t="s">
        <v>15</v>
      </c>
      <c r="E7" s="16" t="s">
        <v>16</v>
      </c>
      <c r="H7" s="15"/>
    </row>
    <row r="8" customHeight="1" spans="1:8">
      <c r="A8" s="16" t="s">
        <v>13</v>
      </c>
      <c r="B8" s="17">
        <v>0.06</v>
      </c>
      <c r="C8" s="16">
        <v>35</v>
      </c>
      <c r="D8" s="16">
        <v>50</v>
      </c>
      <c r="E8" s="19">
        <f>(1-1/(1+B8)^C8)/(1-1/(1+B8)^D8)</f>
        <v>0.919830894086592</v>
      </c>
      <c r="H8" s="15"/>
    </row>
    <row r="10" customFormat="1" customHeight="1"/>
    <row r="11" customFormat="1" customHeight="1"/>
    <row r="12" customFormat="1" customHeight="1"/>
    <row r="13" customFormat="1" customHeight="1"/>
    <row r="14" customFormat="1" customHeight="1"/>
    <row r="15" customFormat="1" customHeight="1"/>
    <row r="16" customFormat="1" customHeight="1"/>
    <row r="17" customFormat="1" customHeight="1"/>
    <row r="18" customFormat="1" customHeight="1"/>
  </sheetData>
  <printOptions horizontalCentered="1"/>
  <pageMargins left="0.700694444444445" right="0.700694444444445" top="0.751388888888889" bottom="0.751388888888889" header="0.298611111111111" footer="0.298611111111111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D20" sqref="D20:G20"/>
    </sheetView>
  </sheetViews>
  <sheetFormatPr defaultColWidth="9" defaultRowHeight="13.5"/>
  <cols>
    <col min="1" max="1" width="10" style="9" customWidth="1"/>
    <col min="2" max="3" width="17.5" style="9" customWidth="1"/>
    <col min="4" max="4" width="13" style="9" customWidth="1"/>
    <col min="5" max="6" width="12.625" style="9" customWidth="1"/>
    <col min="7" max="7" width="12.625" style="9"/>
    <col min="8" max="8" width="9" style="9"/>
    <col min="9" max="9" width="8.125" style="9" customWidth="1"/>
    <col min="10" max="10" width="11.875" style="9" customWidth="1"/>
    <col min="11" max="12" width="9" style="9"/>
    <col min="13" max="13" width="2.375" style="9" customWidth="1"/>
    <col min="14" max="16384" width="9" style="9"/>
  </cols>
  <sheetData>
    <row r="1" ht="25" customHeight="1" spans="1:13">
      <c r="A1" s="10" t="s">
        <v>17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I1" s="10" t="s">
        <v>22</v>
      </c>
      <c r="J1" s="10" t="s">
        <v>23</v>
      </c>
      <c r="M1" s="9" t="s">
        <v>24</v>
      </c>
    </row>
    <row r="2" ht="25" customHeight="1" spans="1:10">
      <c r="A2" s="10">
        <v>1</v>
      </c>
      <c r="B2" s="10">
        <v>8</v>
      </c>
      <c r="C2" s="10">
        <v>182000</v>
      </c>
      <c r="D2" s="10">
        <v>51000</v>
      </c>
      <c r="E2" s="10">
        <f>D2/C2</f>
        <v>0.28021978021978</v>
      </c>
      <c r="F2" s="11">
        <f>(E2-J3)/(J2-J3)*(I2-I3)+I3</f>
        <v>0.224899725274725</v>
      </c>
      <c r="I2" s="14">
        <v>0.23</v>
      </c>
      <c r="J2" s="10">
        <v>0.2843</v>
      </c>
    </row>
    <row r="3" ht="25" customHeight="1" spans="1:10">
      <c r="A3" s="10">
        <v>2</v>
      </c>
      <c r="B3" s="10">
        <v>6</v>
      </c>
      <c r="C3" s="10">
        <v>143000</v>
      </c>
      <c r="D3" s="10">
        <v>42200</v>
      </c>
      <c r="E3" s="10">
        <f>D3/C3</f>
        <v>0.295104895104895</v>
      </c>
      <c r="F3" s="11">
        <f>(E3-J8)/(J7-J8)*1%+I8</f>
        <v>0.192439047439047</v>
      </c>
      <c r="I3" s="14">
        <v>0.22</v>
      </c>
      <c r="J3" s="10">
        <v>0.2763</v>
      </c>
    </row>
    <row r="4" ht="25" customHeight="1" spans="1:10">
      <c r="A4" s="10">
        <v>3</v>
      </c>
      <c r="B4" s="10">
        <v>8</v>
      </c>
      <c r="C4" s="10">
        <v>154000</v>
      </c>
      <c r="D4" s="10">
        <v>42500</v>
      </c>
      <c r="E4" s="10">
        <f>D4/C4</f>
        <v>0.275974025974026</v>
      </c>
      <c r="F4" s="11">
        <f>(E4-J4)/(J3-J4)*1%+I4</f>
        <v>0.219587374650666</v>
      </c>
      <c r="G4" s="12"/>
      <c r="I4" s="14">
        <v>0.21</v>
      </c>
      <c r="J4" s="10">
        <v>0.2684</v>
      </c>
    </row>
    <row r="5" ht="25" customHeight="1" spans="1:6">
      <c r="A5" s="13"/>
      <c r="B5" s="13" t="s">
        <v>10</v>
      </c>
      <c r="C5" s="13">
        <f>51000-51000*(1.2%)-216000*0.017</f>
        <v>46716</v>
      </c>
      <c r="D5" s="13"/>
      <c r="E5" s="13" t="s">
        <v>25</v>
      </c>
      <c r="F5" s="11">
        <f>ROUND(AVERAGE(F2:F4),4)</f>
        <v>0.2123</v>
      </c>
    </row>
    <row r="6" ht="25" customHeight="1" spans="9:10">
      <c r="I6" s="10" t="s">
        <v>26</v>
      </c>
      <c r="J6" s="10" t="s">
        <v>23</v>
      </c>
    </row>
    <row r="7" ht="25" customHeight="1" spans="9:10">
      <c r="I7" s="14">
        <v>0.2</v>
      </c>
      <c r="J7" s="10">
        <v>0.3007</v>
      </c>
    </row>
    <row r="8" ht="25" customHeight="1" spans="9:10">
      <c r="I8" s="14">
        <v>0.19</v>
      </c>
      <c r="J8" s="10">
        <v>0.2933</v>
      </c>
    </row>
    <row r="9" ht="25" customHeight="1" spans="3:3">
      <c r="C9" s="9">
        <f>(199640+176747+189480)/3</f>
        <v>188622.333333333</v>
      </c>
    </row>
    <row r="14" spans="5:6">
      <c r="E14" s="9">
        <f>C5*(1-1/(1+F5)^7)/F5</f>
        <v>162867.0019814</v>
      </c>
      <c r="F14" s="9">
        <f>E14+13880</f>
        <v>176747.0019814</v>
      </c>
    </row>
    <row r="18" spans="4:7">
      <c r="D18" s="9">
        <v>15</v>
      </c>
      <c r="E18" s="9">
        <v>18</v>
      </c>
      <c r="F18" s="9">
        <v>23</v>
      </c>
      <c r="G18" s="9">
        <v>294.38</v>
      </c>
    </row>
    <row r="19" spans="4:7">
      <c r="D19" s="9">
        <v>1.08</v>
      </c>
      <c r="E19" s="9">
        <f>D19*1.08</f>
        <v>1.1664</v>
      </c>
      <c r="F19" s="9">
        <f>E19*1.08</f>
        <v>1.259712</v>
      </c>
      <c r="G19" s="9">
        <f>F19</f>
        <v>1.259712</v>
      </c>
    </row>
    <row r="20" spans="4:7">
      <c r="D20" s="9">
        <f>D18/D19</f>
        <v>13.8888888888889</v>
      </c>
      <c r="E20" s="9">
        <f>E18/E19</f>
        <v>15.4320987654321</v>
      </c>
      <c r="F20" s="9">
        <f>F18/F19</f>
        <v>18.2581415434639</v>
      </c>
      <c r="G20" s="9">
        <f>G18/G19</f>
        <v>233.688335111518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F19" sqref="F19"/>
    </sheetView>
  </sheetViews>
  <sheetFormatPr defaultColWidth="9" defaultRowHeight="25" customHeight="1"/>
  <cols>
    <col min="1" max="1" width="17.375" style="1" customWidth="1"/>
    <col min="2" max="2" width="11.5" style="1" customWidth="1"/>
    <col min="3" max="4" width="9.375" style="1" customWidth="1"/>
    <col min="5" max="6" width="10.375" style="1" customWidth="1"/>
    <col min="7" max="7" width="6.375" style="1" customWidth="1"/>
    <col min="8" max="8" width="7" style="1" customWidth="1"/>
    <col min="9" max="9" width="8.125" style="1" customWidth="1"/>
    <col min="10" max="16384" width="9" style="1"/>
  </cols>
  <sheetData>
    <row r="1" customHeight="1" spans="1:9">
      <c r="A1" s="2" t="s">
        <v>27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3" t="s">
        <v>28</v>
      </c>
      <c r="I1" s="3" t="s">
        <v>29</v>
      </c>
    </row>
    <row r="2" customHeight="1" spans="1:9">
      <c r="A2" s="4" t="s">
        <v>30</v>
      </c>
      <c r="B2" s="2">
        <v>150</v>
      </c>
      <c r="C2" s="2">
        <v>220</v>
      </c>
      <c r="D2" s="2">
        <v>300</v>
      </c>
      <c r="E2" s="2">
        <v>350</v>
      </c>
      <c r="F2" s="2">
        <v>400</v>
      </c>
      <c r="G2" s="2">
        <v>400</v>
      </c>
      <c r="H2" s="3">
        <v>9.8</v>
      </c>
      <c r="I2" s="3">
        <v>10</v>
      </c>
    </row>
    <row r="3" customHeight="1" spans="1:9">
      <c r="A3" s="4" t="s">
        <v>31</v>
      </c>
      <c r="B3" s="2">
        <v>920</v>
      </c>
      <c r="C3" s="2">
        <v>1200</v>
      </c>
      <c r="D3" s="2">
        <v>1500</v>
      </c>
      <c r="E3" s="2">
        <v>1800</v>
      </c>
      <c r="F3" s="2">
        <v>1900</v>
      </c>
      <c r="G3" s="2">
        <v>1900</v>
      </c>
      <c r="H3" s="3">
        <v>1.56</v>
      </c>
      <c r="I3" s="3">
        <v>10</v>
      </c>
    </row>
    <row r="4" customHeight="1" spans="1:9">
      <c r="A4" s="3" t="s">
        <v>28</v>
      </c>
      <c r="B4" s="3" cm="1">
        <f t="array" ref="B4">SUMPRODUCT(B2:B3,$H$2:$H$3,$I$2:$I$3)</f>
        <v>29052</v>
      </c>
      <c r="C4" s="3" cm="1">
        <f t="array" ref="C4">SUMPRODUCT(C2:C3,$H$2:$H$3,$I$2:$I$3)</f>
        <v>40280</v>
      </c>
      <c r="D4" s="3" cm="1">
        <f t="array" ref="D4">SUMPRODUCT(D2:D3,$H$2:$H$3,$I$2:$I$3)</f>
        <v>52800</v>
      </c>
      <c r="E4" s="3" cm="1">
        <f t="array" ref="E4">SUMPRODUCT(E2:E3,$H$2:$H$3,$I$2:$I$3)</f>
        <v>62380</v>
      </c>
      <c r="F4" s="3" cm="1">
        <f t="array" ref="F4">SUMPRODUCT(F2:F3,$H$2:$H$3,$I$2:$I$3)</f>
        <v>68840</v>
      </c>
      <c r="G4" s="3" cm="1">
        <f t="array" ref="G4">SUMPRODUCT(G2:G3,$H$2:$H$3,$I$2:$I$3)</f>
        <v>68840</v>
      </c>
      <c r="H4" s="5"/>
      <c r="I4" s="5"/>
    </row>
    <row r="5" customHeight="1" spans="1:9">
      <c r="A5" s="5" t="s">
        <v>32</v>
      </c>
      <c r="B5" s="5">
        <v>1200</v>
      </c>
      <c r="C5" s="5">
        <v>1200</v>
      </c>
      <c r="D5" s="5">
        <v>1200</v>
      </c>
      <c r="E5" s="5">
        <v>1200</v>
      </c>
      <c r="F5" s="5">
        <v>1000</v>
      </c>
      <c r="G5" s="5">
        <v>1000</v>
      </c>
      <c r="H5" s="5"/>
      <c r="I5" s="5"/>
    </row>
    <row r="6" customHeight="1" spans="1:9">
      <c r="A6" s="5" t="s">
        <v>33</v>
      </c>
      <c r="B6" s="5">
        <v>1500</v>
      </c>
      <c r="C6" s="5">
        <v>1500</v>
      </c>
      <c r="D6" s="5">
        <v>1500</v>
      </c>
      <c r="E6" s="5">
        <v>1500</v>
      </c>
      <c r="F6" s="5">
        <v>500</v>
      </c>
      <c r="G6" s="5">
        <v>500</v>
      </c>
      <c r="H6" s="5"/>
      <c r="I6" s="5"/>
    </row>
    <row r="7" customHeight="1" spans="1:9">
      <c r="A7" s="5" t="s">
        <v>34</v>
      </c>
      <c r="B7" s="5">
        <v>600</v>
      </c>
      <c r="C7" s="5">
        <v>600</v>
      </c>
      <c r="D7" s="5">
        <v>600</v>
      </c>
      <c r="E7" s="5">
        <v>600</v>
      </c>
      <c r="F7" s="5">
        <v>600</v>
      </c>
      <c r="G7" s="5">
        <v>600</v>
      </c>
      <c r="H7" s="5"/>
      <c r="I7" s="5"/>
    </row>
    <row r="8" customHeight="1" spans="1:9">
      <c r="A8" s="5" t="s">
        <v>35</v>
      </c>
      <c r="B8" s="5">
        <v>200</v>
      </c>
      <c r="C8" s="5">
        <v>200</v>
      </c>
      <c r="D8" s="5">
        <v>200</v>
      </c>
      <c r="E8" s="5">
        <v>200</v>
      </c>
      <c r="F8" s="5">
        <v>200</v>
      </c>
      <c r="G8" s="5">
        <v>200</v>
      </c>
      <c r="H8" s="5"/>
      <c r="I8" s="5"/>
    </row>
    <row r="9" customHeight="1" spans="1:9">
      <c r="A9" s="5" t="s">
        <v>36</v>
      </c>
      <c r="B9" s="5">
        <v>400</v>
      </c>
      <c r="C9" s="5">
        <v>400</v>
      </c>
      <c r="D9" s="5">
        <v>400</v>
      </c>
      <c r="E9" s="5">
        <v>400</v>
      </c>
      <c r="F9" s="5">
        <v>400</v>
      </c>
      <c r="G9" s="5">
        <v>400</v>
      </c>
      <c r="H9" s="5"/>
      <c r="I9" s="5"/>
    </row>
    <row r="10" customHeight="1" spans="1:9">
      <c r="A10" s="5" t="s">
        <v>37</v>
      </c>
      <c r="B10" s="5">
        <f>SUM(B5:B9)*$I$2</f>
        <v>39000</v>
      </c>
      <c r="C10" s="5">
        <f>SUM(C5:C9)*$I$2</f>
        <v>39000</v>
      </c>
      <c r="D10" s="5">
        <f>SUM(D5:D9)*$I$2</f>
        <v>39000</v>
      </c>
      <c r="E10" s="5">
        <f>SUM(E5:E9)*$I$2</f>
        <v>39000</v>
      </c>
      <c r="F10" s="5">
        <f>SUM(F5:F9)*$I$2</f>
        <v>27000</v>
      </c>
      <c r="G10" s="5">
        <f>SUM(G5:G9)*$I$2</f>
        <v>27000</v>
      </c>
      <c r="H10" s="5"/>
      <c r="I10" s="5"/>
    </row>
    <row r="11" customHeight="1" spans="1:9">
      <c r="A11" s="5" t="s">
        <v>38</v>
      </c>
      <c r="B11" s="6">
        <f>B4-B10</f>
        <v>-9948</v>
      </c>
      <c r="C11" s="6">
        <f>C4-C10</f>
        <v>1280</v>
      </c>
      <c r="D11" s="6">
        <f>D4-D10</f>
        <v>13800</v>
      </c>
      <c r="E11" s="6">
        <f>E4-E10</f>
        <v>23380</v>
      </c>
      <c r="F11" s="5">
        <f>F4-F10</f>
        <v>41840</v>
      </c>
      <c r="G11" s="5">
        <f>G4-G10</f>
        <v>41840</v>
      </c>
      <c r="H11" s="5"/>
      <c r="I11" s="5"/>
    </row>
    <row r="12" customHeight="1" spans="1:9">
      <c r="A12" s="5" t="s">
        <v>39</v>
      </c>
      <c r="B12" s="7">
        <f>ROUND(1/1.1,4)</f>
        <v>0.9091</v>
      </c>
      <c r="C12" s="7">
        <f>ROUND(1/1.21,4)</f>
        <v>0.8264</v>
      </c>
      <c r="D12" s="7">
        <f>ROUND(1/1.21/1.1,4)</f>
        <v>0.7513</v>
      </c>
      <c r="E12" s="7">
        <f>ROUND(1/1.21/1.21,4)</f>
        <v>0.683</v>
      </c>
      <c r="F12" s="5"/>
      <c r="G12" s="5"/>
      <c r="H12" s="5"/>
      <c r="I12" s="5"/>
    </row>
    <row r="13" customHeight="1" spans="1:9">
      <c r="A13" s="5" t="s">
        <v>40</v>
      </c>
      <c r="B13" s="5">
        <f>B11*B12</f>
        <v>-9043.7268</v>
      </c>
      <c r="C13" s="5">
        <f>C11*C12</f>
        <v>1057.792</v>
      </c>
      <c r="D13" s="5">
        <f>D11*D12</f>
        <v>10367.94</v>
      </c>
      <c r="E13" s="5">
        <f>E11*E12</f>
        <v>15968.54</v>
      </c>
      <c r="F13" s="5">
        <f>F11/0.1*E12</f>
        <v>285767.2</v>
      </c>
      <c r="G13" s="5"/>
      <c r="H13" s="8">
        <f>SUM(B13:F13)</f>
        <v>304117.7452</v>
      </c>
      <c r="I13" s="8"/>
    </row>
    <row r="16" customHeight="1" spans="2:6">
      <c r="B16" s="1">
        <v>5000</v>
      </c>
      <c r="C16" s="1">
        <v>2000</v>
      </c>
      <c r="E16" s="1">
        <f>350*10*400*0.7*0.2</f>
        <v>196000</v>
      </c>
      <c r="F16" s="1">
        <f>E16/((1+5%)^8-1)</f>
        <v>410509.50942051</v>
      </c>
    </row>
    <row r="17" customHeight="1" spans="2:6">
      <c r="B17" s="1">
        <v>20</v>
      </c>
      <c r="C17" s="1">
        <v>20</v>
      </c>
      <c r="E17" s="1">
        <f>300*10</f>
        <v>3000</v>
      </c>
      <c r="F17" s="1">
        <f>E17/0.05</f>
        <v>60000</v>
      </c>
    </row>
    <row r="18" customHeight="1" spans="2:6">
      <c r="B18" s="1">
        <f>2.1/2</f>
        <v>1.05</v>
      </c>
      <c r="C18" s="1">
        <f>2.1/2</f>
        <v>1.05</v>
      </c>
      <c r="F18" s="1">
        <f>F16-F17</f>
        <v>350509.50942051</v>
      </c>
    </row>
    <row r="19" customHeight="1" spans="2:6">
      <c r="B19" s="1">
        <f>B16*B17*B18</f>
        <v>105000</v>
      </c>
      <c r="C19" s="1">
        <f>C16*C17*C18</f>
        <v>42000</v>
      </c>
      <c r="F19" s="1">
        <f>F18/0.05</f>
        <v>7010190.18841019</v>
      </c>
    </row>
    <row r="20" customHeight="1" spans="2:3">
      <c r="B20" s="1">
        <f>1.1*1.1</f>
        <v>1.21</v>
      </c>
      <c r="C20" s="1">
        <v>1.1</v>
      </c>
    </row>
    <row r="21" customHeight="1" spans="3:3">
      <c r="C21" s="1" cm="1">
        <f t="array" ref="C21">SUMPRODUCT(B19:C19,B20:C20)</f>
        <v>173250</v>
      </c>
    </row>
  </sheetData>
  <mergeCells count="1">
    <mergeCell ref="H13:I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公式</vt:lpstr>
      <vt:lpstr>演算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熊亚飞</cp:lastModifiedBy>
  <dcterms:created xsi:type="dcterms:W3CDTF">2023-05-12T11:15:00Z</dcterms:created>
  <dcterms:modified xsi:type="dcterms:W3CDTF">2024-08-20T06:06:00Z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2052-12.1.0.17150</vt:lpwstr>
  </property>
  <property fmtid="{D5CDD505-2E9C-101B-9397-08002B2CF9AE}" pid="3" name="ICV">
    <vt:lpwstr>A45EE70E219A494095DBFC04D31DA8B8_13</vt:lpwstr>
  </property>
</Properties>
</file>