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9" i="1"/>
  <c r="P33"/>
  <c r="P44"/>
  <c r="K39"/>
  <c r="K25"/>
  <c r="K31"/>
  <c r="K13"/>
  <c r="K10"/>
  <c r="K9"/>
  <c r="K7"/>
  <c r="K6"/>
  <c r="K5"/>
  <c r="P50"/>
  <c r="P64"/>
  <c r="P75"/>
  <c r="K70"/>
  <c r="K69"/>
  <c r="K57"/>
  <c r="K47"/>
  <c r="K42"/>
  <c r="K38"/>
  <c r="K26"/>
  <c r="K41"/>
  <c r="K22"/>
  <c r="K12"/>
  <c r="K58"/>
  <c r="K27"/>
  <c r="K11"/>
  <c r="K8"/>
  <c r="F39"/>
  <c r="K28"/>
  <c r="K40"/>
  <c r="K71"/>
  <c r="K23"/>
  <c r="K18"/>
  <c r="K15"/>
  <c r="F28"/>
  <c r="F58"/>
  <c r="F11"/>
  <c r="K67"/>
  <c r="K14"/>
  <c r="F70"/>
  <c r="F10"/>
  <c r="K73"/>
  <c r="K54"/>
  <c r="K60"/>
  <c r="K43"/>
  <c r="K32"/>
  <c r="K59"/>
  <c r="K16"/>
  <c r="F12"/>
  <c r="F22"/>
  <c r="K72"/>
  <c r="K68"/>
  <c r="B79"/>
  <c r="K74" l="1"/>
  <c r="K55"/>
  <c r="K56"/>
  <c r="L57"/>
  <c r="O57" s="1"/>
  <c r="K61"/>
  <c r="K62"/>
  <c r="K63"/>
  <c r="K53"/>
  <c r="K37"/>
  <c r="K24"/>
  <c r="K29"/>
  <c r="K30"/>
  <c r="K33"/>
  <c r="K17"/>
  <c r="F68"/>
  <c r="F69"/>
  <c r="F71"/>
  <c r="F72"/>
  <c r="F73"/>
  <c r="F74"/>
  <c r="F54"/>
  <c r="F55"/>
  <c r="F56"/>
  <c r="F57"/>
  <c r="F59"/>
  <c r="F60"/>
  <c r="F61"/>
  <c r="F62"/>
  <c r="F63"/>
  <c r="F47"/>
  <c r="F37"/>
  <c r="F38"/>
  <c r="F40"/>
  <c r="F41"/>
  <c r="F42"/>
  <c r="F43"/>
  <c r="F44"/>
  <c r="F23"/>
  <c r="F24"/>
  <c r="F25"/>
  <c r="F26"/>
  <c r="F27"/>
  <c r="F29"/>
  <c r="F30"/>
  <c r="F31"/>
  <c r="F32"/>
  <c r="F6"/>
  <c r="F7"/>
  <c r="F8"/>
  <c r="F9"/>
  <c r="F13"/>
  <c r="F14"/>
  <c r="F15"/>
  <c r="F16"/>
  <c r="F17"/>
  <c r="F18"/>
  <c r="F5"/>
  <c r="L16"/>
  <c r="O16" s="1"/>
  <c r="D60"/>
  <c r="D59"/>
  <c r="D73"/>
  <c r="D72"/>
  <c r="D71"/>
  <c r="D40"/>
  <c r="D25"/>
  <c r="L17"/>
  <c r="O17" s="1"/>
  <c r="D32"/>
  <c r="D16"/>
  <c r="D17"/>
  <c r="H44"/>
  <c r="D57"/>
  <c r="D38"/>
  <c r="K36"/>
  <c r="F67"/>
  <c r="F36"/>
  <c r="L42"/>
  <c r="O42" s="1"/>
  <c r="D42"/>
  <c r="D36"/>
  <c r="D27"/>
  <c r="E57" l="1"/>
  <c r="J57" s="1"/>
  <c r="M57" s="1"/>
  <c r="E17"/>
  <c r="J17" s="1"/>
  <c r="M17" s="1"/>
  <c r="E16"/>
  <c r="G16" s="1"/>
  <c r="E42"/>
  <c r="H42" s="1"/>
  <c r="L6"/>
  <c r="L7"/>
  <c r="L8"/>
  <c r="L9"/>
  <c r="L10"/>
  <c r="L11"/>
  <c r="L12"/>
  <c r="L13"/>
  <c r="L14"/>
  <c r="L15"/>
  <c r="L18"/>
  <c r="L19"/>
  <c r="F53"/>
  <c r="D70"/>
  <c r="D69"/>
  <c r="D47"/>
  <c r="H57" l="1"/>
  <c r="N57" s="1"/>
  <c r="G57"/>
  <c r="H17"/>
  <c r="N17" s="1"/>
  <c r="G17"/>
  <c r="J16"/>
  <c r="M16" s="1"/>
  <c r="H16"/>
  <c r="J42"/>
  <c r="G42"/>
  <c r="D39"/>
  <c r="D30"/>
  <c r="L39"/>
  <c r="E18"/>
  <c r="D54"/>
  <c r="L31"/>
  <c r="O31" s="1"/>
  <c r="O18"/>
  <c r="E31"/>
  <c r="J31" s="1"/>
  <c r="D43"/>
  <c r="D41"/>
  <c r="D31"/>
  <c r="D29"/>
  <c r="D28"/>
  <c r="D26"/>
  <c r="N16" l="1"/>
  <c r="H31"/>
  <c r="G18"/>
  <c r="J18"/>
  <c r="M18" s="1"/>
  <c r="H18"/>
  <c r="G31"/>
  <c r="M31"/>
  <c r="D8"/>
  <c r="D7"/>
  <c r="D9"/>
  <c r="K48"/>
  <c r="D58"/>
  <c r="N31" l="1"/>
  <c r="N18"/>
  <c r="L53"/>
  <c r="D24"/>
  <c r="E14" l="1"/>
  <c r="D23"/>
  <c r="O15" l="1"/>
  <c r="D15"/>
  <c r="O14"/>
  <c r="D14"/>
  <c r="E15" l="1"/>
  <c r="J14"/>
  <c r="M14" s="1"/>
  <c r="D22"/>
  <c r="O13"/>
  <c r="O12"/>
  <c r="E8"/>
  <c r="J8" s="1"/>
  <c r="L68"/>
  <c r="O68" s="1"/>
  <c r="L70"/>
  <c r="O70" s="1"/>
  <c r="E6"/>
  <c r="J6" s="1"/>
  <c r="E5"/>
  <c r="L54"/>
  <c r="O54" s="1"/>
  <c r="E68"/>
  <c r="J68" s="1"/>
  <c r="D53"/>
  <c r="D68"/>
  <c r="D67"/>
  <c r="D56"/>
  <c r="D55"/>
  <c r="E12"/>
  <c r="D12"/>
  <c r="D10"/>
  <c r="E13"/>
  <c r="J13" s="1"/>
  <c r="D13"/>
  <c r="O8"/>
  <c r="L47"/>
  <c r="E38"/>
  <c r="L69"/>
  <c r="O69" s="1"/>
  <c r="L72"/>
  <c r="O72" s="1"/>
  <c r="L73"/>
  <c r="O73" s="1"/>
  <c r="L74"/>
  <c r="O74" s="1"/>
  <c r="L71"/>
  <c r="O71" s="1"/>
  <c r="L67"/>
  <c r="E67"/>
  <c r="L55"/>
  <c r="O55" s="1"/>
  <c r="L56"/>
  <c r="O56" s="1"/>
  <c r="L58"/>
  <c r="O58" s="1"/>
  <c r="L59"/>
  <c r="O59" s="1"/>
  <c r="L60"/>
  <c r="O60" s="1"/>
  <c r="L61"/>
  <c r="O61" s="1"/>
  <c r="L62"/>
  <c r="O62" s="1"/>
  <c r="L63"/>
  <c r="O63" s="1"/>
  <c r="L48"/>
  <c r="O48" s="1"/>
  <c r="K49"/>
  <c r="E55"/>
  <c r="E58"/>
  <c r="G58" s="1"/>
  <c r="E60"/>
  <c r="G60" s="1"/>
  <c r="E62"/>
  <c r="G62" s="1"/>
  <c r="E56"/>
  <c r="H56" s="1"/>
  <c r="E59"/>
  <c r="H59" s="1"/>
  <c r="E61"/>
  <c r="H61" s="1"/>
  <c r="E53"/>
  <c r="J53" s="1"/>
  <c r="L49"/>
  <c r="O49" s="1"/>
  <c r="E47"/>
  <c r="J47" s="1"/>
  <c r="L37"/>
  <c r="O37" s="1"/>
  <c r="O39"/>
  <c r="L40"/>
  <c r="O40" s="1"/>
  <c r="L41"/>
  <c r="O41" s="1"/>
  <c r="L43"/>
  <c r="O43" s="1"/>
  <c r="L36"/>
  <c r="E22"/>
  <c r="L22"/>
  <c r="O22" s="1"/>
  <c r="L23"/>
  <c r="O23" s="1"/>
  <c r="L24"/>
  <c r="O24" s="1"/>
  <c r="L25"/>
  <c r="O25" s="1"/>
  <c r="L26"/>
  <c r="O26" s="1"/>
  <c r="L27"/>
  <c r="O27" s="1"/>
  <c r="L28"/>
  <c r="O28" s="1"/>
  <c r="L29"/>
  <c r="O29" s="1"/>
  <c r="L30"/>
  <c r="O30" s="1"/>
  <c r="L32"/>
  <c r="O32" s="1"/>
  <c r="O10"/>
  <c r="O11"/>
  <c r="O9"/>
  <c r="E7"/>
  <c r="J7" s="1"/>
  <c r="F48"/>
  <c r="E48" s="1"/>
  <c r="J48" s="1"/>
  <c r="F49"/>
  <c r="E37"/>
  <c r="E39"/>
  <c r="E41"/>
  <c r="E24"/>
  <c r="H24" s="1"/>
  <c r="E25"/>
  <c r="E26"/>
  <c r="H26" s="1"/>
  <c r="E27"/>
  <c r="E28"/>
  <c r="E29"/>
  <c r="E30"/>
  <c r="H30" s="1"/>
  <c r="E32"/>
  <c r="D11"/>
  <c r="D6"/>
  <c r="D5"/>
  <c r="J41" l="1"/>
  <c r="H41"/>
  <c r="J37"/>
  <c r="M37" s="1"/>
  <c r="N37" s="1"/>
  <c r="H37"/>
  <c r="J38"/>
  <c r="H38"/>
  <c r="J39"/>
  <c r="M39" s="1"/>
  <c r="H39"/>
  <c r="G67"/>
  <c r="H28"/>
  <c r="G28"/>
  <c r="H22"/>
  <c r="L38"/>
  <c r="O38" s="1"/>
  <c r="E63"/>
  <c r="H63" s="1"/>
  <c r="G55"/>
  <c r="H12"/>
  <c r="G14"/>
  <c r="O7"/>
  <c r="H15"/>
  <c r="J15"/>
  <c r="M15" s="1"/>
  <c r="G15"/>
  <c r="H14"/>
  <c r="N14" s="1"/>
  <c r="M7"/>
  <c r="L5"/>
  <c r="O5" s="1"/>
  <c r="E54"/>
  <c r="H54" s="1"/>
  <c r="M8"/>
  <c r="G12"/>
  <c r="J12"/>
  <c r="M12" s="1"/>
  <c r="N12" s="1"/>
  <c r="M13"/>
  <c r="H13"/>
  <c r="G13"/>
  <c r="H8"/>
  <c r="N8" s="1"/>
  <c r="G8"/>
  <c r="M48"/>
  <c r="J22"/>
  <c r="M22" s="1"/>
  <c r="M68"/>
  <c r="E73"/>
  <c r="G73" s="1"/>
  <c r="E71"/>
  <c r="G71" s="1"/>
  <c r="E69"/>
  <c r="G69" s="1"/>
  <c r="E9"/>
  <c r="J9" s="1"/>
  <c r="M9" s="1"/>
  <c r="E43"/>
  <c r="E40"/>
  <c r="E74"/>
  <c r="J74" s="1"/>
  <c r="M74" s="1"/>
  <c r="E72"/>
  <c r="J72" s="1"/>
  <c r="M72" s="1"/>
  <c r="E70"/>
  <c r="J70" s="1"/>
  <c r="M70" s="1"/>
  <c r="E11"/>
  <c r="G11" s="1"/>
  <c r="E36"/>
  <c r="H36" s="1"/>
  <c r="L75"/>
  <c r="B89"/>
  <c r="J32"/>
  <c r="M32" s="1"/>
  <c r="H32"/>
  <c r="J29"/>
  <c r="M29" s="1"/>
  <c r="H29"/>
  <c r="H27"/>
  <c r="J27"/>
  <c r="M27" s="1"/>
  <c r="J25"/>
  <c r="M25" s="1"/>
  <c r="H25"/>
  <c r="M53"/>
  <c r="L64"/>
  <c r="O53"/>
  <c r="O64" s="1"/>
  <c r="O33"/>
  <c r="O36"/>
  <c r="E49"/>
  <c r="J49" s="1"/>
  <c r="J62"/>
  <c r="M62" s="1"/>
  <c r="J60"/>
  <c r="M60" s="1"/>
  <c r="J58"/>
  <c r="M58" s="1"/>
  <c r="J55"/>
  <c r="M55" s="1"/>
  <c r="G68"/>
  <c r="H67"/>
  <c r="J67"/>
  <c r="O67"/>
  <c r="O75" s="1"/>
  <c r="E23"/>
  <c r="H23" s="1"/>
  <c r="J61"/>
  <c r="M61" s="1"/>
  <c r="N61" s="1"/>
  <c r="J59"/>
  <c r="M59" s="1"/>
  <c r="N59" s="1"/>
  <c r="J56"/>
  <c r="M56" s="1"/>
  <c r="N56" s="1"/>
  <c r="H74"/>
  <c r="N74" s="1"/>
  <c r="H68"/>
  <c r="M49"/>
  <c r="O6"/>
  <c r="L50"/>
  <c r="L33"/>
  <c r="G63"/>
  <c r="G61"/>
  <c r="G59"/>
  <c r="G56"/>
  <c r="H62"/>
  <c r="H60"/>
  <c r="N60" s="1"/>
  <c r="H58"/>
  <c r="H55"/>
  <c r="G53"/>
  <c r="H53"/>
  <c r="G48"/>
  <c r="H48"/>
  <c r="G49"/>
  <c r="H49"/>
  <c r="J50"/>
  <c r="M47"/>
  <c r="G47"/>
  <c r="G50" s="1"/>
  <c r="H47"/>
  <c r="H50" s="1"/>
  <c r="O47"/>
  <c r="O50" s="1"/>
  <c r="E10"/>
  <c r="H10" s="1"/>
  <c r="H7"/>
  <c r="H6"/>
  <c r="G5"/>
  <c r="G30"/>
  <c r="J30"/>
  <c r="M30" s="1"/>
  <c r="N30" s="1"/>
  <c r="J28"/>
  <c r="M28" s="1"/>
  <c r="G26"/>
  <c r="J26"/>
  <c r="M26" s="1"/>
  <c r="N26" s="1"/>
  <c r="G24"/>
  <c r="J24"/>
  <c r="M24" s="1"/>
  <c r="N24" s="1"/>
  <c r="G32"/>
  <c r="G29"/>
  <c r="G27"/>
  <c r="G25"/>
  <c r="G38"/>
  <c r="G41"/>
  <c r="G39"/>
  <c r="G37"/>
  <c r="G22"/>
  <c r="G7"/>
  <c r="G6"/>
  <c r="H73" l="1"/>
  <c r="G74"/>
  <c r="O44"/>
  <c r="H72"/>
  <c r="N72" s="1"/>
  <c r="N39"/>
  <c r="J40"/>
  <c r="M40" s="1"/>
  <c r="H40"/>
  <c r="M42"/>
  <c r="N42" s="1"/>
  <c r="M41"/>
  <c r="N41" s="1"/>
  <c r="N48"/>
  <c r="J63"/>
  <c r="M63" s="1"/>
  <c r="N63" s="1"/>
  <c r="J43"/>
  <c r="M43" s="1"/>
  <c r="H43"/>
  <c r="H71"/>
  <c r="G72"/>
  <c r="L44"/>
  <c r="B88" s="1"/>
  <c r="M38"/>
  <c r="N38" s="1"/>
  <c r="N28"/>
  <c r="G40"/>
  <c r="N22"/>
  <c r="G43"/>
  <c r="H33"/>
  <c r="J73"/>
  <c r="M73" s="1"/>
  <c r="N73" s="1"/>
  <c r="G36"/>
  <c r="G23"/>
  <c r="G33" s="1"/>
  <c r="N68"/>
  <c r="J71"/>
  <c r="M71" s="1"/>
  <c r="N15"/>
  <c r="O19"/>
  <c r="G9"/>
  <c r="G54"/>
  <c r="G64" s="1"/>
  <c r="N7"/>
  <c r="H9"/>
  <c r="N9" s="1"/>
  <c r="H11"/>
  <c r="J11"/>
  <c r="M11" s="1"/>
  <c r="N53"/>
  <c r="J54"/>
  <c r="M54" s="1"/>
  <c r="N54" s="1"/>
  <c r="H70"/>
  <c r="N70" s="1"/>
  <c r="J69"/>
  <c r="M69" s="1"/>
  <c r="H69"/>
  <c r="G70"/>
  <c r="N55"/>
  <c r="N13"/>
  <c r="J36"/>
  <c r="N58"/>
  <c r="N62"/>
  <c r="N27"/>
  <c r="J23"/>
  <c r="N25"/>
  <c r="N29"/>
  <c r="N32"/>
  <c r="M67"/>
  <c r="N49"/>
  <c r="M6"/>
  <c r="N6" s="1"/>
  <c r="H64"/>
  <c r="M50"/>
  <c r="N47"/>
  <c r="G10"/>
  <c r="J10"/>
  <c r="M10" s="1"/>
  <c r="N10" s="1"/>
  <c r="J5"/>
  <c r="M5" s="1"/>
  <c r="H5"/>
  <c r="N71" l="1"/>
  <c r="N40"/>
  <c r="N43"/>
  <c r="G75"/>
  <c r="G44"/>
  <c r="G19"/>
  <c r="H19"/>
  <c r="J75"/>
  <c r="M19"/>
  <c r="J19"/>
  <c r="M75"/>
  <c r="N69"/>
  <c r="J64"/>
  <c r="M64"/>
  <c r="H75"/>
  <c r="N11"/>
  <c r="M36"/>
  <c r="J44"/>
  <c r="N64"/>
  <c r="M23"/>
  <c r="N23" s="1"/>
  <c r="N33" s="1"/>
  <c r="J33"/>
  <c r="N50"/>
  <c r="N67"/>
  <c r="N5"/>
  <c r="B90"/>
  <c r="B82" l="1"/>
  <c r="N19"/>
  <c r="N75"/>
  <c r="B85"/>
  <c r="M33"/>
  <c r="M44"/>
  <c r="N44" s="1"/>
  <c r="N36"/>
  <c r="B83"/>
  <c r="B84" l="1"/>
  <c r="B92" s="1"/>
  <c r="B94" s="1"/>
  <c r="B87"/>
  <c r="B86"/>
</calcChain>
</file>

<file path=xl/sharedStrings.xml><?xml version="1.0" encoding="utf-8"?>
<sst xmlns="http://schemas.openxmlformats.org/spreadsheetml/2006/main" count="182" uniqueCount="99">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</sst>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4"/>
  <sheetViews>
    <sheetView tabSelected="1" workbookViewId="0">
      <pane ySplit="2" topLeftCell="A66" activePane="bottomLeft" state="frozen"/>
      <selection pane="bottomLeft" activeCell="A20" sqref="A20:P20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18</v>
      </c>
      <c r="C4" s="35" t="s">
        <v>22</v>
      </c>
      <c r="D4" s="36" t="s">
        <v>50</v>
      </c>
      <c r="E4" s="36" t="s">
        <v>6</v>
      </c>
      <c r="F4" s="36" t="s">
        <v>3</v>
      </c>
      <c r="G4" s="36" t="s">
        <v>44</v>
      </c>
      <c r="H4" s="36" t="s">
        <v>45</v>
      </c>
      <c r="I4" s="36" t="s">
        <v>49</v>
      </c>
      <c r="J4" s="36" t="s">
        <v>15</v>
      </c>
      <c r="K4" s="36" t="s">
        <v>36</v>
      </c>
      <c r="L4" s="36" t="s">
        <v>37</v>
      </c>
      <c r="M4" s="36" t="s">
        <v>47</v>
      </c>
      <c r="N4" s="36" t="s">
        <v>48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90</v>
      </c>
      <c r="D5" s="8">
        <f>470/B5</f>
        <v>19.583333333333332</v>
      </c>
      <c r="E5" s="4">
        <f>(C5+(F5*B5))-K5</f>
        <v>77</v>
      </c>
      <c r="F5" s="4">
        <f>0+0</f>
        <v>0</v>
      </c>
      <c r="G5" s="11">
        <f>E5*D5</f>
        <v>1507.9166666666665</v>
      </c>
      <c r="H5" s="11">
        <f>(E5+K5)*D5</f>
        <v>1762.5</v>
      </c>
      <c r="I5" s="11">
        <v>25</v>
      </c>
      <c r="J5" s="11">
        <f>(I5*E5)</f>
        <v>1925</v>
      </c>
      <c r="K5" s="11">
        <f>0+0+4+1+5+1+2</f>
        <v>13</v>
      </c>
      <c r="L5" s="11">
        <f>K5*I5</f>
        <v>325</v>
      </c>
      <c r="M5" s="11">
        <f>J5+L5</f>
        <v>2250</v>
      </c>
      <c r="N5" s="11">
        <f>M5-H5</f>
        <v>487.5</v>
      </c>
      <c r="O5" s="11">
        <f>L5</f>
        <v>325</v>
      </c>
      <c r="P5" s="11"/>
    </row>
    <row r="6" spans="1:16">
      <c r="A6" s="6" t="s">
        <v>8</v>
      </c>
      <c r="B6" s="9">
        <v>24</v>
      </c>
      <c r="C6" s="9">
        <v>76</v>
      </c>
      <c r="D6" s="8">
        <f>800/B6</f>
        <v>33.333333333333336</v>
      </c>
      <c r="E6" s="4">
        <f t="shared" ref="E6:E18" si="0">(C6+(F6*B6))-K6</f>
        <v>68</v>
      </c>
      <c r="F6" s="4">
        <f t="shared" ref="F6:F18" si="1">0+0</f>
        <v>0</v>
      </c>
      <c r="G6" s="11">
        <f t="shared" ref="G6:G18" si="2">E6*D6</f>
        <v>2266.666666666667</v>
      </c>
      <c r="H6" s="11">
        <f t="shared" ref="H6:H18" si="3">(E6+K6)*D6</f>
        <v>2533.3333333333335</v>
      </c>
      <c r="I6" s="11">
        <v>40</v>
      </c>
      <c r="J6" s="11">
        <f t="shared" ref="J6:J18" si="4">(I6*E6)</f>
        <v>2720</v>
      </c>
      <c r="K6" s="11">
        <f>0+0+1+4+2+1</f>
        <v>8</v>
      </c>
      <c r="L6" s="11">
        <f t="shared" ref="L6:L19" si="5">K6*I6</f>
        <v>320</v>
      </c>
      <c r="M6" s="11">
        <f t="shared" ref="M6:M18" si="6">J6+L6</f>
        <v>3040</v>
      </c>
      <c r="N6" s="11">
        <f t="shared" ref="N6:N18" si="7">M6-H6</f>
        <v>506.66666666666652</v>
      </c>
      <c r="O6" s="11">
        <f t="shared" ref="O6:O18" si="8">L6</f>
        <v>320</v>
      </c>
      <c r="P6" s="11"/>
    </row>
    <row r="7" spans="1:16">
      <c r="A7" s="7" t="s">
        <v>9</v>
      </c>
      <c r="B7" s="10">
        <v>12</v>
      </c>
      <c r="C7" s="9">
        <v>35</v>
      </c>
      <c r="D7" s="8">
        <f>730/B7</f>
        <v>60.833333333333336</v>
      </c>
      <c r="E7" s="4">
        <f t="shared" si="0"/>
        <v>19</v>
      </c>
      <c r="F7" s="4">
        <f t="shared" si="1"/>
        <v>0</v>
      </c>
      <c r="G7" s="11">
        <f t="shared" si="2"/>
        <v>1155.8333333333335</v>
      </c>
      <c r="H7" s="11">
        <f t="shared" si="3"/>
        <v>2129.166666666667</v>
      </c>
      <c r="I7" s="11">
        <v>70</v>
      </c>
      <c r="J7" s="11">
        <f t="shared" si="4"/>
        <v>1330</v>
      </c>
      <c r="K7" s="11">
        <f>0+0+2+2+2+2+1+3+1+1+2</f>
        <v>16</v>
      </c>
      <c r="L7" s="11">
        <f t="shared" si="5"/>
        <v>1120</v>
      </c>
      <c r="M7" s="11">
        <f t="shared" si="6"/>
        <v>2450</v>
      </c>
      <c r="N7" s="11">
        <f t="shared" si="7"/>
        <v>320.83333333333303</v>
      </c>
      <c r="O7" s="11">
        <f t="shared" si="8"/>
        <v>1120</v>
      </c>
      <c r="P7" s="11"/>
    </row>
    <row r="8" spans="1:16">
      <c r="A8" s="7" t="s">
        <v>63</v>
      </c>
      <c r="B8" s="10">
        <v>24</v>
      </c>
      <c r="C8" s="9">
        <v>15</v>
      </c>
      <c r="D8" s="8">
        <f>700/24</f>
        <v>29.166666666666668</v>
      </c>
      <c r="E8" s="4">
        <f t="shared" si="0"/>
        <v>3</v>
      </c>
      <c r="F8" s="4">
        <f t="shared" si="1"/>
        <v>0</v>
      </c>
      <c r="G8" s="11">
        <f t="shared" si="2"/>
        <v>87.5</v>
      </c>
      <c r="H8" s="11">
        <f t="shared" si="3"/>
        <v>437.5</v>
      </c>
      <c r="I8" s="11">
        <v>40</v>
      </c>
      <c r="J8" s="11">
        <f t="shared" si="4"/>
        <v>120</v>
      </c>
      <c r="K8" s="11">
        <f>0+0+1+1+1+1+4+3+1</f>
        <v>12</v>
      </c>
      <c r="L8" s="11">
        <f t="shared" si="5"/>
        <v>480</v>
      </c>
      <c r="M8" s="11">
        <f t="shared" si="6"/>
        <v>600</v>
      </c>
      <c r="N8" s="11">
        <f t="shared" si="7"/>
        <v>162.5</v>
      </c>
      <c r="O8" s="11">
        <f t="shared" si="8"/>
        <v>480</v>
      </c>
      <c r="P8" s="11"/>
    </row>
    <row r="9" spans="1:16">
      <c r="A9" s="7" t="s">
        <v>10</v>
      </c>
      <c r="B9" s="10">
        <v>24</v>
      </c>
      <c r="C9" s="9">
        <v>43</v>
      </c>
      <c r="D9" s="8">
        <f>1280/B9</f>
        <v>53.333333333333336</v>
      </c>
      <c r="E9" s="4">
        <f t="shared" si="0"/>
        <v>31</v>
      </c>
      <c r="F9" s="4">
        <f t="shared" si="1"/>
        <v>0</v>
      </c>
      <c r="G9" s="11">
        <f t="shared" si="2"/>
        <v>1653.3333333333335</v>
      </c>
      <c r="H9" s="11">
        <f t="shared" si="3"/>
        <v>2293.3333333333335</v>
      </c>
      <c r="I9" s="11">
        <v>65</v>
      </c>
      <c r="J9" s="11">
        <f t="shared" si="4"/>
        <v>2015</v>
      </c>
      <c r="K9" s="11">
        <f>0+0+4+1+1+3+1+1+1</f>
        <v>12</v>
      </c>
      <c r="L9" s="11">
        <f t="shared" si="5"/>
        <v>780</v>
      </c>
      <c r="M9" s="11">
        <f t="shared" si="6"/>
        <v>2795</v>
      </c>
      <c r="N9" s="11">
        <f t="shared" si="7"/>
        <v>501.66666666666652</v>
      </c>
      <c r="O9" s="11">
        <f t="shared" si="8"/>
        <v>780</v>
      </c>
      <c r="P9" s="11"/>
    </row>
    <row r="10" spans="1:16">
      <c r="A10" s="7" t="s">
        <v>64</v>
      </c>
      <c r="B10" s="10">
        <v>12</v>
      </c>
      <c r="C10" s="9">
        <v>19</v>
      </c>
      <c r="D10" s="8">
        <f>980/B10</f>
        <v>81.666666666666671</v>
      </c>
      <c r="E10" s="4">
        <f t="shared" si="0"/>
        <v>19</v>
      </c>
      <c r="F10" s="4">
        <f>0+0+1</f>
        <v>1</v>
      </c>
      <c r="G10" s="11">
        <f t="shared" si="2"/>
        <v>1551.6666666666667</v>
      </c>
      <c r="H10" s="11">
        <f t="shared" si="3"/>
        <v>2531.666666666667</v>
      </c>
      <c r="I10" s="11">
        <v>100</v>
      </c>
      <c r="J10" s="11">
        <f t="shared" si="4"/>
        <v>1900</v>
      </c>
      <c r="K10" s="11">
        <f>0+0+1+4+1+1+2+1+1+1</f>
        <v>12</v>
      </c>
      <c r="L10" s="11">
        <f t="shared" si="5"/>
        <v>1200</v>
      </c>
      <c r="M10" s="11">
        <f t="shared" si="6"/>
        <v>3100</v>
      </c>
      <c r="N10" s="11">
        <f t="shared" si="7"/>
        <v>568.33333333333303</v>
      </c>
      <c r="O10" s="11">
        <f t="shared" si="8"/>
        <v>1200</v>
      </c>
      <c r="P10" s="11"/>
    </row>
    <row r="11" spans="1:16">
      <c r="A11" s="7" t="s">
        <v>11</v>
      </c>
      <c r="B11" s="10">
        <v>6</v>
      </c>
      <c r="C11" s="9">
        <v>20</v>
      </c>
      <c r="D11" s="8">
        <f>800/B11</f>
        <v>133.33333333333334</v>
      </c>
      <c r="E11" s="4">
        <f t="shared" si="0"/>
        <v>19</v>
      </c>
      <c r="F11" s="4">
        <f>0+0+2</f>
        <v>2</v>
      </c>
      <c r="G11" s="11">
        <f t="shared" si="2"/>
        <v>2533.3333333333335</v>
      </c>
      <c r="H11" s="11">
        <f t="shared" si="3"/>
        <v>4266.666666666667</v>
      </c>
      <c r="I11" s="11">
        <v>150</v>
      </c>
      <c r="J11" s="11">
        <f t="shared" si="4"/>
        <v>2850</v>
      </c>
      <c r="K11" s="11">
        <f>0+0+4+2+2+1+2+2</f>
        <v>13</v>
      </c>
      <c r="L11" s="11">
        <f t="shared" si="5"/>
        <v>1950</v>
      </c>
      <c r="M11" s="11">
        <f t="shared" si="6"/>
        <v>4800</v>
      </c>
      <c r="N11" s="11">
        <f t="shared" si="7"/>
        <v>533.33333333333303</v>
      </c>
      <c r="O11" s="11">
        <f t="shared" si="8"/>
        <v>1950</v>
      </c>
      <c r="P11" s="11"/>
    </row>
    <row r="12" spans="1:16">
      <c r="A12" s="61" t="s">
        <v>66</v>
      </c>
      <c r="B12" s="62">
        <v>12</v>
      </c>
      <c r="C12" s="9">
        <v>8</v>
      </c>
      <c r="D12" s="63">
        <f>600/12</f>
        <v>50</v>
      </c>
      <c r="E12" s="4">
        <f t="shared" si="0"/>
        <v>12</v>
      </c>
      <c r="F12" s="4">
        <f>0+0+1</f>
        <v>1</v>
      </c>
      <c r="G12" s="11">
        <f t="shared" si="2"/>
        <v>600</v>
      </c>
      <c r="H12" s="11">
        <f t="shared" si="3"/>
        <v>1000</v>
      </c>
      <c r="I12" s="64">
        <v>60</v>
      </c>
      <c r="J12" s="64">
        <f t="shared" si="4"/>
        <v>720</v>
      </c>
      <c r="K12" s="11">
        <f>0+0+2+2+1+1+1+1</f>
        <v>8</v>
      </c>
      <c r="L12" s="11">
        <f t="shared" si="5"/>
        <v>480</v>
      </c>
      <c r="M12" s="11">
        <f t="shared" si="6"/>
        <v>1200</v>
      </c>
      <c r="N12" s="11">
        <f t="shared" si="7"/>
        <v>200</v>
      </c>
      <c r="O12" s="11">
        <f t="shared" si="8"/>
        <v>480</v>
      </c>
      <c r="P12" s="64"/>
    </row>
    <row r="13" spans="1:16">
      <c r="A13" s="61" t="s">
        <v>65</v>
      </c>
      <c r="B13" s="62">
        <v>12</v>
      </c>
      <c r="C13" s="9">
        <v>33</v>
      </c>
      <c r="D13" s="63">
        <f>570/12</f>
        <v>47.5</v>
      </c>
      <c r="E13" s="4">
        <f t="shared" si="0"/>
        <v>23</v>
      </c>
      <c r="F13" s="4">
        <f t="shared" si="1"/>
        <v>0</v>
      </c>
      <c r="G13" s="11">
        <f t="shared" si="2"/>
        <v>1092.5</v>
      </c>
      <c r="H13" s="11">
        <f t="shared" si="3"/>
        <v>1567.5</v>
      </c>
      <c r="I13" s="64">
        <v>60</v>
      </c>
      <c r="J13" s="64">
        <f t="shared" si="4"/>
        <v>1380</v>
      </c>
      <c r="K13" s="11">
        <f>0+0+1+2+2+1+3+1</f>
        <v>10</v>
      </c>
      <c r="L13" s="11">
        <f t="shared" si="5"/>
        <v>600</v>
      </c>
      <c r="M13" s="11">
        <f t="shared" si="6"/>
        <v>1980</v>
      </c>
      <c r="N13" s="11">
        <f t="shared" si="7"/>
        <v>412.5</v>
      </c>
      <c r="O13" s="11">
        <f t="shared" si="8"/>
        <v>600</v>
      </c>
      <c r="P13" s="64"/>
    </row>
    <row r="14" spans="1:16">
      <c r="A14" s="61" t="s">
        <v>77</v>
      </c>
      <c r="B14" s="62">
        <v>12</v>
      </c>
      <c r="C14" s="9">
        <v>4</v>
      </c>
      <c r="D14" s="63">
        <f>570/12</f>
        <v>47.5</v>
      </c>
      <c r="E14" s="4">
        <f>(C14+(F14*B14))-K14</f>
        <v>3</v>
      </c>
      <c r="F14" s="4">
        <f t="shared" si="1"/>
        <v>0</v>
      </c>
      <c r="G14" s="11">
        <f t="shared" si="2"/>
        <v>142.5</v>
      </c>
      <c r="H14" s="11">
        <f t="shared" si="3"/>
        <v>190</v>
      </c>
      <c r="I14" s="64">
        <v>60</v>
      </c>
      <c r="J14" s="64">
        <f t="shared" si="4"/>
        <v>180</v>
      </c>
      <c r="K14" s="11">
        <f>0+0+1</f>
        <v>1</v>
      </c>
      <c r="L14" s="11">
        <f t="shared" si="5"/>
        <v>60</v>
      </c>
      <c r="M14" s="11">
        <f t="shared" si="6"/>
        <v>240</v>
      </c>
      <c r="N14" s="11">
        <f t="shared" si="7"/>
        <v>50</v>
      </c>
      <c r="O14" s="11">
        <f t="shared" si="8"/>
        <v>60</v>
      </c>
      <c r="P14" s="64"/>
    </row>
    <row r="15" spans="1:16">
      <c r="A15" s="61" t="s">
        <v>78</v>
      </c>
      <c r="B15" s="62">
        <v>24</v>
      </c>
      <c r="C15" s="9">
        <v>13</v>
      </c>
      <c r="D15" s="63">
        <f>480/24</f>
        <v>20</v>
      </c>
      <c r="E15" s="4">
        <f t="shared" si="0"/>
        <v>7</v>
      </c>
      <c r="F15" s="4">
        <f t="shared" si="1"/>
        <v>0</v>
      </c>
      <c r="G15" s="11">
        <f t="shared" si="2"/>
        <v>140</v>
      </c>
      <c r="H15" s="11">
        <f>(E15+K15)*D15</f>
        <v>260</v>
      </c>
      <c r="I15" s="64">
        <v>30</v>
      </c>
      <c r="J15" s="64">
        <f t="shared" si="4"/>
        <v>210</v>
      </c>
      <c r="K15" s="11">
        <f>0+0+2+1+1+1+1</f>
        <v>6</v>
      </c>
      <c r="L15" s="11">
        <f t="shared" si="5"/>
        <v>180</v>
      </c>
      <c r="M15" s="11">
        <f t="shared" si="6"/>
        <v>390</v>
      </c>
      <c r="N15" s="11">
        <f>M15-H15</f>
        <v>130</v>
      </c>
      <c r="O15" s="11">
        <f t="shared" si="8"/>
        <v>180</v>
      </c>
      <c r="P15" s="64"/>
    </row>
    <row r="16" spans="1:16">
      <c r="A16" s="61" t="s">
        <v>93</v>
      </c>
      <c r="B16" s="62">
        <v>24</v>
      </c>
      <c r="C16" s="9">
        <v>5</v>
      </c>
      <c r="D16" s="63">
        <f>190/24</f>
        <v>7.916666666666667</v>
      </c>
      <c r="E16" s="4">
        <f t="shared" si="0"/>
        <v>0</v>
      </c>
      <c r="F16" s="4">
        <f t="shared" si="1"/>
        <v>0</v>
      </c>
      <c r="G16" s="11">
        <f t="shared" si="2"/>
        <v>0</v>
      </c>
      <c r="H16" s="11">
        <f>(E16+K16)*D16</f>
        <v>39.583333333333336</v>
      </c>
      <c r="I16" s="64">
        <v>10</v>
      </c>
      <c r="J16" s="64">
        <f t="shared" si="4"/>
        <v>0</v>
      </c>
      <c r="K16" s="11">
        <f>0+0+4+1</f>
        <v>5</v>
      </c>
      <c r="L16" s="11">
        <f t="shared" si="5"/>
        <v>50</v>
      </c>
      <c r="M16" s="11">
        <f t="shared" si="6"/>
        <v>50</v>
      </c>
      <c r="N16" s="11">
        <f>M16-H16</f>
        <v>10.416666666666664</v>
      </c>
      <c r="O16" s="11">
        <f t="shared" si="8"/>
        <v>50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115/24</f>
        <v>4.791666666666667</v>
      </c>
      <c r="E17" s="4">
        <f t="shared" si="0"/>
        <v>0</v>
      </c>
      <c r="F17" s="4">
        <f t="shared" si="1"/>
        <v>0</v>
      </c>
      <c r="G17" s="11">
        <f t="shared" si="2"/>
        <v>0</v>
      </c>
      <c r="H17" s="11">
        <f t="shared" si="3"/>
        <v>0</v>
      </c>
      <c r="I17" s="64">
        <v>5</v>
      </c>
      <c r="J17" s="64">
        <f t="shared" si="4"/>
        <v>0</v>
      </c>
      <c r="K17" s="11">
        <f t="shared" ref="K17" si="9">0+0</f>
        <v>0</v>
      </c>
      <c r="L17" s="11">
        <f t="shared" si="5"/>
        <v>0</v>
      </c>
      <c r="M17" s="11">
        <f t="shared" si="6"/>
        <v>0</v>
      </c>
      <c r="N17" s="11">
        <f t="shared" si="7"/>
        <v>0</v>
      </c>
      <c r="O17" s="11">
        <f t="shared" si="8"/>
        <v>0</v>
      </c>
      <c r="P17" s="64"/>
    </row>
    <row r="18" spans="1:16">
      <c r="A18" s="61" t="s">
        <v>88</v>
      </c>
      <c r="B18" s="62">
        <v>24</v>
      </c>
      <c r="C18" s="9">
        <v>0</v>
      </c>
      <c r="D18" s="63">
        <v>13.75</v>
      </c>
      <c r="E18" s="4">
        <f t="shared" si="0"/>
        <v>-1</v>
      </c>
      <c r="F18" s="4">
        <f t="shared" si="1"/>
        <v>0</v>
      </c>
      <c r="G18" s="11">
        <f t="shared" si="2"/>
        <v>-13.75</v>
      </c>
      <c r="H18" s="11">
        <f t="shared" si="3"/>
        <v>0</v>
      </c>
      <c r="I18" s="64">
        <v>20</v>
      </c>
      <c r="J18" s="64">
        <f t="shared" si="4"/>
        <v>-20</v>
      </c>
      <c r="K18" s="11">
        <f>0+0+1</f>
        <v>1</v>
      </c>
      <c r="L18" s="11">
        <f t="shared" si="5"/>
        <v>20</v>
      </c>
      <c r="M18" s="11">
        <f t="shared" si="6"/>
        <v>0</v>
      </c>
      <c r="N18" s="11">
        <f t="shared" si="7"/>
        <v>0</v>
      </c>
      <c r="O18" s="11">
        <f t="shared" si="8"/>
        <v>20</v>
      </c>
      <c r="P18" s="64"/>
    </row>
    <row r="19" spans="1:16" ht="15.75" thickBot="1">
      <c r="A19" s="14" t="s">
        <v>12</v>
      </c>
      <c r="B19" s="15"/>
      <c r="C19" s="15"/>
      <c r="D19" s="16"/>
      <c r="E19" s="16"/>
      <c r="F19" s="16"/>
      <c r="G19" s="17">
        <f>SUM(G5:G15)</f>
        <v>12731.25</v>
      </c>
      <c r="H19" s="17">
        <f>SUM(H5:H15)</f>
        <v>18971.666666666668</v>
      </c>
      <c r="I19" s="17"/>
      <c r="J19" s="17">
        <f>SUM(J5:J15)</f>
        <v>15350</v>
      </c>
      <c r="K19" s="11"/>
      <c r="L19" s="11">
        <f t="shared" si="5"/>
        <v>0</v>
      </c>
      <c r="M19" s="18">
        <f>SUM(M5:M15)</f>
        <v>22845</v>
      </c>
      <c r="N19" s="18">
        <f>SUM(N5:N15)</f>
        <v>3873.3333333333321</v>
      </c>
      <c r="O19" s="18">
        <f>SUM(O5:O15)-P19</f>
        <v>0</v>
      </c>
      <c r="P19" s="17">
        <f>0+0+1300+1040+520+795+465+575+830+445+660+460+405</f>
        <v>7495</v>
      </c>
    </row>
    <row r="20" spans="1:16" ht="16.5" thickTop="1">
      <c r="A20" s="70" t="s">
        <v>13</v>
      </c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</row>
    <row r="21" spans="1:16">
      <c r="A21" s="3" t="s">
        <v>2</v>
      </c>
      <c r="B21" s="35" t="s">
        <v>18</v>
      </c>
      <c r="C21" s="35" t="s">
        <v>22</v>
      </c>
      <c r="D21" s="36" t="s">
        <v>68</v>
      </c>
      <c r="E21" s="36" t="s">
        <v>6</v>
      </c>
      <c r="F21" s="36" t="s">
        <v>3</v>
      </c>
      <c r="G21" s="36" t="s">
        <v>44</v>
      </c>
      <c r="H21" s="36" t="s">
        <v>45</v>
      </c>
      <c r="I21" s="36" t="s">
        <v>49</v>
      </c>
      <c r="J21" s="36" t="s">
        <v>15</v>
      </c>
      <c r="K21" s="36" t="s">
        <v>36</v>
      </c>
      <c r="L21" s="36" t="s">
        <v>37</v>
      </c>
      <c r="M21" s="36" t="s">
        <v>47</v>
      </c>
      <c r="N21" s="36" t="s">
        <v>48</v>
      </c>
      <c r="O21" s="36" t="s">
        <v>16</v>
      </c>
      <c r="P21" s="36" t="s">
        <v>4</v>
      </c>
    </row>
    <row r="22" spans="1:16">
      <c r="A22" s="12" t="s">
        <v>76</v>
      </c>
      <c r="B22" s="12">
        <v>24</v>
      </c>
      <c r="C22" s="12">
        <v>3</v>
      </c>
      <c r="D22" s="8">
        <f>972/24</f>
        <v>40.5</v>
      </c>
      <c r="E22" s="4">
        <f>(C22+(F22*B22))-K22</f>
        <v>22</v>
      </c>
      <c r="F22" s="4">
        <f>0+0+1</f>
        <v>1</v>
      </c>
      <c r="G22" s="11">
        <f>E22*D22</f>
        <v>891</v>
      </c>
      <c r="H22" s="11">
        <f>(E22+K22)*D22</f>
        <v>1093.5</v>
      </c>
      <c r="I22" s="4">
        <v>50</v>
      </c>
      <c r="J22" s="11">
        <f>(I22*E22)</f>
        <v>1100</v>
      </c>
      <c r="K22" s="11">
        <f>0+0+2+1+2</f>
        <v>5</v>
      </c>
      <c r="L22" s="11">
        <f>K22*I22</f>
        <v>250</v>
      </c>
      <c r="M22" s="11">
        <f>J22+L22</f>
        <v>1350</v>
      </c>
      <c r="N22" s="11">
        <f>M22-H22</f>
        <v>256.5</v>
      </c>
      <c r="O22" s="11">
        <f>L22</f>
        <v>250</v>
      </c>
      <c r="P22" s="4"/>
    </row>
    <row r="23" spans="1:16">
      <c r="A23" s="12" t="s">
        <v>82</v>
      </c>
      <c r="B23" s="5">
        <v>24</v>
      </c>
      <c r="C23" s="12">
        <v>17</v>
      </c>
      <c r="D23" s="8">
        <f>940/24</f>
        <v>39.166666666666664</v>
      </c>
      <c r="E23" s="4">
        <f t="shared" ref="E23:E32" si="10">(C23+(F23*B23))-K23</f>
        <v>14</v>
      </c>
      <c r="F23" s="4">
        <f t="shared" ref="F23:F32" si="11">0+0</f>
        <v>0</v>
      </c>
      <c r="G23" s="11">
        <f t="shared" ref="G23:G32" si="12">E23*D23</f>
        <v>548.33333333333326</v>
      </c>
      <c r="H23" s="11">
        <f t="shared" ref="H23:H32" si="13">(E23+K23)*D23</f>
        <v>665.83333333333326</v>
      </c>
      <c r="I23" s="4">
        <v>50</v>
      </c>
      <c r="J23" s="11">
        <f t="shared" ref="J23:J32" si="14">(I23*E23)</f>
        <v>700</v>
      </c>
      <c r="K23" s="11">
        <f>0+0+2+1</f>
        <v>3</v>
      </c>
      <c r="L23" s="11">
        <f t="shared" ref="L23:L31" si="15">K23*I23</f>
        <v>150</v>
      </c>
      <c r="M23" s="11">
        <f t="shared" ref="M23:M32" si="16">J23+L23</f>
        <v>850</v>
      </c>
      <c r="N23" s="11">
        <f t="shared" ref="N23:N32" si="17">M23-H23</f>
        <v>184.16666666666674</v>
      </c>
      <c r="O23" s="11">
        <f t="shared" ref="O23:O32" si="18">L23</f>
        <v>150</v>
      </c>
      <c r="P23" s="4"/>
    </row>
    <row r="24" spans="1:16">
      <c r="A24" s="12" t="s">
        <v>85</v>
      </c>
      <c r="B24" s="5">
        <v>24</v>
      </c>
      <c r="C24" s="12">
        <v>8</v>
      </c>
      <c r="D24" s="4">
        <f>1080/24</f>
        <v>45</v>
      </c>
      <c r="E24" s="4">
        <f t="shared" si="10"/>
        <v>8</v>
      </c>
      <c r="F24" s="4">
        <f t="shared" si="11"/>
        <v>0</v>
      </c>
      <c r="G24" s="11">
        <f t="shared" si="12"/>
        <v>360</v>
      </c>
      <c r="H24" s="11">
        <f t="shared" si="13"/>
        <v>360</v>
      </c>
      <c r="I24" s="4">
        <v>50</v>
      </c>
      <c r="J24" s="11">
        <f t="shared" si="14"/>
        <v>400</v>
      </c>
      <c r="K24" s="11">
        <f t="shared" ref="K24:K33" si="19">0+0</f>
        <v>0</v>
      </c>
      <c r="L24" s="11">
        <f t="shared" si="15"/>
        <v>0</v>
      </c>
      <c r="M24" s="11">
        <f t="shared" si="16"/>
        <v>400</v>
      </c>
      <c r="N24" s="11">
        <f t="shared" si="17"/>
        <v>40</v>
      </c>
      <c r="O24" s="11">
        <f t="shared" si="18"/>
        <v>0</v>
      </c>
      <c r="P24" s="4"/>
    </row>
    <row r="25" spans="1:16">
      <c r="A25" s="12" t="s">
        <v>90</v>
      </c>
      <c r="B25" s="13">
        <v>12</v>
      </c>
      <c r="C25" s="12">
        <v>13</v>
      </c>
      <c r="D25" s="4">
        <f>1240/12</f>
        <v>103.33333333333333</v>
      </c>
      <c r="E25" s="4">
        <f t="shared" si="10"/>
        <v>6</v>
      </c>
      <c r="F25" s="4">
        <f t="shared" si="11"/>
        <v>0</v>
      </c>
      <c r="G25" s="11">
        <f t="shared" si="12"/>
        <v>620</v>
      </c>
      <c r="H25" s="11">
        <f t="shared" si="13"/>
        <v>1343.3333333333333</v>
      </c>
      <c r="I25" s="4">
        <v>110</v>
      </c>
      <c r="J25" s="11">
        <f t="shared" si="14"/>
        <v>660</v>
      </c>
      <c r="K25" s="11">
        <f>0+0+1+1+1+2+2</f>
        <v>7</v>
      </c>
      <c r="L25" s="11">
        <f t="shared" si="15"/>
        <v>770</v>
      </c>
      <c r="M25" s="11">
        <f t="shared" si="16"/>
        <v>1430</v>
      </c>
      <c r="N25" s="11">
        <f t="shared" si="17"/>
        <v>86.666666666666742</v>
      </c>
      <c r="O25" s="11">
        <f t="shared" si="18"/>
        <v>770</v>
      </c>
      <c r="P25" s="4"/>
    </row>
    <row r="26" spans="1:16">
      <c r="A26" s="12" t="s">
        <v>17</v>
      </c>
      <c r="B26" s="13">
        <v>12</v>
      </c>
      <c r="C26" s="12">
        <v>11</v>
      </c>
      <c r="D26" s="4">
        <f>1180/12</f>
        <v>98.333333333333329</v>
      </c>
      <c r="E26" s="4">
        <f t="shared" si="10"/>
        <v>7</v>
      </c>
      <c r="F26" s="4">
        <f t="shared" si="11"/>
        <v>0</v>
      </c>
      <c r="G26" s="11">
        <f t="shared" si="12"/>
        <v>688.33333333333326</v>
      </c>
      <c r="H26" s="11">
        <f t="shared" si="13"/>
        <v>1081.6666666666665</v>
      </c>
      <c r="I26" s="4">
        <v>110</v>
      </c>
      <c r="J26" s="11">
        <f t="shared" si="14"/>
        <v>770</v>
      </c>
      <c r="K26" s="11">
        <f>0+0+1+3</f>
        <v>4</v>
      </c>
      <c r="L26" s="11">
        <f t="shared" si="15"/>
        <v>440</v>
      </c>
      <c r="M26" s="11">
        <f t="shared" si="16"/>
        <v>1210</v>
      </c>
      <c r="N26" s="11">
        <f t="shared" si="17"/>
        <v>128.33333333333348</v>
      </c>
      <c r="O26" s="11">
        <f t="shared" si="18"/>
        <v>440</v>
      </c>
      <c r="P26" s="4"/>
    </row>
    <row r="27" spans="1:16">
      <c r="A27" s="12" t="s">
        <v>19</v>
      </c>
      <c r="B27" s="13">
        <v>24</v>
      </c>
      <c r="C27" s="12">
        <v>13</v>
      </c>
      <c r="D27" s="4">
        <f>1200/24</f>
        <v>50</v>
      </c>
      <c r="E27" s="4">
        <f t="shared" si="10"/>
        <v>10</v>
      </c>
      <c r="F27" s="4">
        <f t="shared" si="11"/>
        <v>0</v>
      </c>
      <c r="G27" s="11">
        <f t="shared" si="12"/>
        <v>500</v>
      </c>
      <c r="H27" s="11">
        <f t="shared" si="13"/>
        <v>650</v>
      </c>
      <c r="I27" s="4">
        <v>60</v>
      </c>
      <c r="J27" s="11">
        <f t="shared" si="14"/>
        <v>600</v>
      </c>
      <c r="K27" s="11">
        <f>0+0+1+1+1</f>
        <v>3</v>
      </c>
      <c r="L27" s="11">
        <f t="shared" si="15"/>
        <v>180</v>
      </c>
      <c r="M27" s="11">
        <f t="shared" si="16"/>
        <v>780</v>
      </c>
      <c r="N27" s="11">
        <f t="shared" si="17"/>
        <v>130</v>
      </c>
      <c r="O27" s="11">
        <f t="shared" si="18"/>
        <v>180</v>
      </c>
      <c r="P27" s="4"/>
    </row>
    <row r="28" spans="1:16">
      <c r="A28" s="12" t="s">
        <v>20</v>
      </c>
      <c r="B28" s="13">
        <v>12</v>
      </c>
      <c r="C28" s="12">
        <v>5</v>
      </c>
      <c r="D28" s="4">
        <f>1180/12</f>
        <v>98.333333333333329</v>
      </c>
      <c r="E28" s="4">
        <f t="shared" si="10"/>
        <v>10</v>
      </c>
      <c r="F28" s="4">
        <f>0+0+1</f>
        <v>1</v>
      </c>
      <c r="G28" s="11">
        <f>E28*D28</f>
        <v>983.33333333333326</v>
      </c>
      <c r="H28" s="11">
        <f t="shared" si="13"/>
        <v>1671.6666666666665</v>
      </c>
      <c r="I28" s="4">
        <v>110</v>
      </c>
      <c r="J28" s="11">
        <f t="shared" si="14"/>
        <v>1100</v>
      </c>
      <c r="K28" s="11">
        <f>0+0+1+1+3+2</f>
        <v>7</v>
      </c>
      <c r="L28" s="11">
        <f t="shared" si="15"/>
        <v>770</v>
      </c>
      <c r="M28" s="11">
        <f t="shared" si="16"/>
        <v>1870</v>
      </c>
      <c r="N28" s="11">
        <f t="shared" si="17"/>
        <v>198.33333333333348</v>
      </c>
      <c r="O28" s="11">
        <f t="shared" si="18"/>
        <v>770</v>
      </c>
      <c r="P28" s="4"/>
    </row>
    <row r="29" spans="1:16">
      <c r="A29" s="12" t="s">
        <v>21</v>
      </c>
      <c r="B29" s="13">
        <v>24</v>
      </c>
      <c r="C29" s="12">
        <v>0</v>
      </c>
      <c r="D29" s="4">
        <f>1200/24</f>
        <v>50</v>
      </c>
      <c r="E29" s="4">
        <f t="shared" si="10"/>
        <v>0</v>
      </c>
      <c r="F29" s="4">
        <f t="shared" si="11"/>
        <v>0</v>
      </c>
      <c r="G29" s="11">
        <f t="shared" si="12"/>
        <v>0</v>
      </c>
      <c r="H29" s="11">
        <f t="shared" si="13"/>
        <v>0</v>
      </c>
      <c r="I29" s="4">
        <v>60</v>
      </c>
      <c r="J29" s="11">
        <f t="shared" si="14"/>
        <v>0</v>
      </c>
      <c r="K29" s="11">
        <f t="shared" si="19"/>
        <v>0</v>
      </c>
      <c r="L29" s="11">
        <f t="shared" si="15"/>
        <v>0</v>
      </c>
      <c r="M29" s="11">
        <f t="shared" si="16"/>
        <v>0</v>
      </c>
      <c r="N29" s="11">
        <f t="shared" si="17"/>
        <v>0</v>
      </c>
      <c r="O29" s="11">
        <f t="shared" si="18"/>
        <v>0</v>
      </c>
      <c r="P29" s="4"/>
    </row>
    <row r="30" spans="1:16">
      <c r="A30" s="12" t="s">
        <v>23</v>
      </c>
      <c r="B30" s="13">
        <v>12</v>
      </c>
      <c r="C30" s="12">
        <v>0</v>
      </c>
      <c r="D30" s="4">
        <f>1240/12</f>
        <v>103.33333333333333</v>
      </c>
      <c r="E30" s="4">
        <f t="shared" si="10"/>
        <v>0</v>
      </c>
      <c r="F30" s="4">
        <f t="shared" si="11"/>
        <v>0</v>
      </c>
      <c r="G30" s="11">
        <f t="shared" si="12"/>
        <v>0</v>
      </c>
      <c r="H30" s="11">
        <f t="shared" si="13"/>
        <v>0</v>
      </c>
      <c r="I30" s="4">
        <v>125</v>
      </c>
      <c r="J30" s="11">
        <f t="shared" si="14"/>
        <v>0</v>
      </c>
      <c r="K30" s="11">
        <f t="shared" si="19"/>
        <v>0</v>
      </c>
      <c r="L30" s="11">
        <f t="shared" si="15"/>
        <v>0</v>
      </c>
      <c r="M30" s="11">
        <f t="shared" si="16"/>
        <v>0</v>
      </c>
      <c r="N30" s="11">
        <f t="shared" si="17"/>
        <v>0</v>
      </c>
      <c r="O30" s="11">
        <f t="shared" si="18"/>
        <v>0</v>
      </c>
      <c r="P30" s="4"/>
    </row>
    <row r="31" spans="1:16">
      <c r="A31" s="12" t="s">
        <v>87</v>
      </c>
      <c r="B31" s="13">
        <v>12</v>
      </c>
      <c r="C31" s="12">
        <v>6</v>
      </c>
      <c r="D31" s="4">
        <f>1100/12</f>
        <v>91.666666666666671</v>
      </c>
      <c r="E31" s="4">
        <f t="shared" si="10"/>
        <v>3</v>
      </c>
      <c r="F31" s="4">
        <f t="shared" si="11"/>
        <v>0</v>
      </c>
      <c r="G31" s="11">
        <f t="shared" si="12"/>
        <v>275</v>
      </c>
      <c r="H31" s="11">
        <f t="shared" si="13"/>
        <v>550</v>
      </c>
      <c r="I31" s="4">
        <v>115</v>
      </c>
      <c r="J31" s="11">
        <f t="shared" si="14"/>
        <v>345</v>
      </c>
      <c r="K31" s="11">
        <f>0+0+1+1+1</f>
        <v>3</v>
      </c>
      <c r="L31" s="11">
        <f t="shared" si="15"/>
        <v>345</v>
      </c>
      <c r="M31" s="11">
        <f t="shared" si="16"/>
        <v>690</v>
      </c>
      <c r="N31" s="11">
        <f t="shared" si="17"/>
        <v>140</v>
      </c>
      <c r="O31" s="11">
        <f t="shared" si="18"/>
        <v>345</v>
      </c>
      <c r="P31" s="4"/>
    </row>
    <row r="32" spans="1:16" ht="17.25" customHeight="1">
      <c r="A32" s="12" t="s">
        <v>24</v>
      </c>
      <c r="B32" s="13">
        <v>12</v>
      </c>
      <c r="C32" s="12">
        <v>6</v>
      </c>
      <c r="D32" s="4">
        <f>1650/12</f>
        <v>137.5</v>
      </c>
      <c r="E32" s="4">
        <f t="shared" si="10"/>
        <v>5</v>
      </c>
      <c r="F32" s="4">
        <f t="shared" si="11"/>
        <v>0</v>
      </c>
      <c r="G32" s="11">
        <f t="shared" si="12"/>
        <v>687.5</v>
      </c>
      <c r="H32" s="11">
        <f t="shared" si="13"/>
        <v>825</v>
      </c>
      <c r="I32" s="4">
        <v>148</v>
      </c>
      <c r="J32" s="11">
        <f t="shared" si="14"/>
        <v>740</v>
      </c>
      <c r="K32" s="11">
        <f>0+0+1</f>
        <v>1</v>
      </c>
      <c r="L32" s="11">
        <f>K32*I32</f>
        <v>148</v>
      </c>
      <c r="M32" s="11">
        <f t="shared" si="16"/>
        <v>888</v>
      </c>
      <c r="N32" s="11">
        <f t="shared" si="17"/>
        <v>63</v>
      </c>
      <c r="O32" s="11">
        <f t="shared" si="18"/>
        <v>148</v>
      </c>
      <c r="P32" s="4"/>
    </row>
    <row r="33" spans="1:16" s="1" customFormat="1" ht="15.75" thickBot="1">
      <c r="A33" s="16" t="s">
        <v>12</v>
      </c>
      <c r="B33" s="16"/>
      <c r="C33" s="16"/>
      <c r="D33" s="16"/>
      <c r="E33" s="16"/>
      <c r="F33" s="16"/>
      <c r="G33" s="17">
        <f>SUM(G22:G32)</f>
        <v>5553.4999999999991</v>
      </c>
      <c r="H33" s="17">
        <f>SUM(H22:H32)</f>
        <v>8240.9999999999982</v>
      </c>
      <c r="I33" s="16"/>
      <c r="J33" s="17">
        <f>SUM(J22:J32)</f>
        <v>6415</v>
      </c>
      <c r="K33" s="11">
        <f t="shared" si="19"/>
        <v>0</v>
      </c>
      <c r="L33" s="18">
        <f>SUM(L22:L32)</f>
        <v>3053</v>
      </c>
      <c r="M33" s="21">
        <f>SUM(M22:M32)</f>
        <v>9468</v>
      </c>
      <c r="N33" s="21">
        <f>SUM(N22:N32)</f>
        <v>1227.0000000000005</v>
      </c>
      <c r="O33" s="18">
        <f>SUM(O22:O32)-P33</f>
        <v>0</v>
      </c>
      <c r="P33" s="17">
        <f>0+0+60+425+220+478+335+160+220+170+650+335</f>
        <v>3053</v>
      </c>
    </row>
    <row r="34" spans="1:16" ht="16.5" thickTop="1">
      <c r="A34" s="70" t="s">
        <v>84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</row>
    <row r="35" spans="1:16">
      <c r="A35" s="3" t="s">
        <v>2</v>
      </c>
      <c r="B35" s="35" t="s">
        <v>18</v>
      </c>
      <c r="C35" s="35" t="s">
        <v>22</v>
      </c>
      <c r="D35" s="36" t="s">
        <v>68</v>
      </c>
      <c r="E35" s="36" t="s">
        <v>6</v>
      </c>
      <c r="F35" s="36" t="s">
        <v>3</v>
      </c>
      <c r="G35" s="36" t="s">
        <v>44</v>
      </c>
      <c r="H35" s="36" t="s">
        <v>45</v>
      </c>
      <c r="I35" s="36" t="s">
        <v>49</v>
      </c>
      <c r="J35" s="36" t="s">
        <v>15</v>
      </c>
      <c r="K35" s="36" t="s">
        <v>36</v>
      </c>
      <c r="L35" s="36" t="s">
        <v>37</v>
      </c>
      <c r="M35" s="36" t="s">
        <v>47</v>
      </c>
      <c r="N35" s="36" t="s">
        <v>48</v>
      </c>
      <c r="O35" s="36" t="s">
        <v>16</v>
      </c>
      <c r="P35" s="36" t="s">
        <v>4</v>
      </c>
    </row>
    <row r="36" spans="1:16">
      <c r="A36" s="12" t="s">
        <v>83</v>
      </c>
      <c r="B36" s="13">
        <v>30</v>
      </c>
      <c r="C36" s="5">
        <v>0</v>
      </c>
      <c r="D36" s="4">
        <f>2625/25</f>
        <v>105</v>
      </c>
      <c r="E36" s="4">
        <f t="shared" ref="E36:E43" si="20">(C36+(F36*B36))-K36</f>
        <v>0</v>
      </c>
      <c r="F36" s="4">
        <f>0+0</f>
        <v>0</v>
      </c>
      <c r="G36" s="11">
        <f>E36*D36</f>
        <v>0</v>
      </c>
      <c r="H36" s="11">
        <f>(E36+K36)*D36</f>
        <v>0</v>
      </c>
      <c r="I36" s="4">
        <v>140</v>
      </c>
      <c r="J36" s="11">
        <f t="shared" ref="J36:J43" si="21">(I36*E36)</f>
        <v>0</v>
      </c>
      <c r="K36" s="11">
        <f>0+0</f>
        <v>0</v>
      </c>
      <c r="L36" s="11">
        <f>K36*I36</f>
        <v>0</v>
      </c>
      <c r="M36" s="11">
        <f t="shared" ref="M36:M43" si="22">J36+L36</f>
        <v>0</v>
      </c>
      <c r="N36" s="11">
        <f t="shared" ref="N36:N44" si="23">M36-H36</f>
        <v>0</v>
      </c>
      <c r="O36" s="11">
        <f t="shared" ref="O36:O43" si="24">L36</f>
        <v>0</v>
      </c>
      <c r="P36" s="4"/>
    </row>
    <row r="37" spans="1:16">
      <c r="A37" s="12" t="s">
        <v>25</v>
      </c>
      <c r="B37" s="13">
        <v>24</v>
      </c>
      <c r="C37" s="5">
        <v>0</v>
      </c>
      <c r="D37" s="4"/>
      <c r="E37" s="4">
        <f t="shared" si="20"/>
        <v>0</v>
      </c>
      <c r="F37" s="4">
        <f t="shared" ref="F37:F44" si="25">0+0</f>
        <v>0</v>
      </c>
      <c r="G37" s="11">
        <f t="shared" ref="G37:G43" si="26">E37*D37</f>
        <v>0</v>
      </c>
      <c r="H37" s="11">
        <f t="shared" ref="H37:H44" si="27">(E37+K37)*D37</f>
        <v>0</v>
      </c>
      <c r="I37" s="4"/>
      <c r="J37" s="11">
        <f t="shared" si="21"/>
        <v>0</v>
      </c>
      <c r="K37" s="11">
        <f t="shared" ref="K37" si="28">0+0</f>
        <v>0</v>
      </c>
      <c r="L37" s="11">
        <f t="shared" ref="L37:L43" si="29">K37*I37</f>
        <v>0</v>
      </c>
      <c r="M37" s="11">
        <f t="shared" si="22"/>
        <v>0</v>
      </c>
      <c r="N37" s="11">
        <f t="shared" si="23"/>
        <v>0</v>
      </c>
      <c r="O37" s="11">
        <f t="shared" si="24"/>
        <v>0</v>
      </c>
      <c r="P37" s="4"/>
    </row>
    <row r="38" spans="1:16">
      <c r="A38" s="12" t="s">
        <v>26</v>
      </c>
      <c r="B38" s="13">
        <v>12</v>
      </c>
      <c r="C38" s="5">
        <v>13</v>
      </c>
      <c r="D38" s="4">
        <f>1520/12</f>
        <v>126.66666666666667</v>
      </c>
      <c r="E38" s="4">
        <f t="shared" si="20"/>
        <v>12</v>
      </c>
      <c r="F38" s="4">
        <f t="shared" si="25"/>
        <v>0</v>
      </c>
      <c r="G38" s="11">
        <f t="shared" si="26"/>
        <v>1520</v>
      </c>
      <c r="H38" s="11">
        <f t="shared" si="27"/>
        <v>1646.6666666666667</v>
      </c>
      <c r="I38" s="4">
        <v>146</v>
      </c>
      <c r="J38" s="11">
        <f t="shared" si="21"/>
        <v>1752</v>
      </c>
      <c r="K38" s="11">
        <f>0+0+1</f>
        <v>1</v>
      </c>
      <c r="L38" s="11">
        <f t="shared" si="29"/>
        <v>146</v>
      </c>
      <c r="M38" s="11">
        <f t="shared" si="22"/>
        <v>1898</v>
      </c>
      <c r="N38" s="11">
        <f t="shared" si="23"/>
        <v>251.33333333333326</v>
      </c>
      <c r="O38" s="11">
        <f t="shared" si="24"/>
        <v>146</v>
      </c>
      <c r="P38" s="4"/>
    </row>
    <row r="39" spans="1:16">
      <c r="A39" s="12" t="s">
        <v>27</v>
      </c>
      <c r="B39" s="13">
        <v>12</v>
      </c>
      <c r="C39" s="5">
        <v>21</v>
      </c>
      <c r="D39" s="4">
        <f>1415/12</f>
        <v>117.91666666666667</v>
      </c>
      <c r="E39" s="4">
        <f t="shared" si="20"/>
        <v>24</v>
      </c>
      <c r="F39" s="4">
        <f>0+0+2</f>
        <v>2</v>
      </c>
      <c r="G39" s="11">
        <f t="shared" si="26"/>
        <v>2830</v>
      </c>
      <c r="H39" s="11">
        <f t="shared" si="27"/>
        <v>5306.25</v>
      </c>
      <c r="I39" s="4">
        <v>135</v>
      </c>
      <c r="J39" s="11">
        <f t="shared" si="21"/>
        <v>3240</v>
      </c>
      <c r="K39" s="11">
        <f>0+0+2+3+4+4+4+4</f>
        <v>21</v>
      </c>
      <c r="L39" s="11">
        <f>K39*I39</f>
        <v>2835</v>
      </c>
      <c r="M39" s="11">
        <f t="shared" si="22"/>
        <v>6075</v>
      </c>
      <c r="N39" s="11">
        <f t="shared" si="23"/>
        <v>768.75</v>
      </c>
      <c r="O39" s="11">
        <f t="shared" si="24"/>
        <v>2835</v>
      </c>
      <c r="P39" s="4"/>
    </row>
    <row r="40" spans="1:16">
      <c r="A40" s="12" t="s">
        <v>28</v>
      </c>
      <c r="B40" s="13">
        <v>24</v>
      </c>
      <c r="C40" s="5">
        <v>12</v>
      </c>
      <c r="D40" s="4">
        <f>1535/24</f>
        <v>63.958333333333336</v>
      </c>
      <c r="E40" s="4">
        <f t="shared" si="20"/>
        <v>7</v>
      </c>
      <c r="F40" s="4">
        <f t="shared" si="25"/>
        <v>0</v>
      </c>
      <c r="G40" s="11">
        <f t="shared" si="26"/>
        <v>447.70833333333337</v>
      </c>
      <c r="H40" s="11">
        <f t="shared" si="27"/>
        <v>767.5</v>
      </c>
      <c r="I40" s="4">
        <v>75</v>
      </c>
      <c r="J40" s="11">
        <f t="shared" si="21"/>
        <v>525</v>
      </c>
      <c r="K40" s="11">
        <f>0+0+2+1+1+1</f>
        <v>5</v>
      </c>
      <c r="L40" s="11">
        <f t="shared" si="29"/>
        <v>375</v>
      </c>
      <c r="M40" s="11">
        <f t="shared" si="22"/>
        <v>900</v>
      </c>
      <c r="N40" s="11">
        <f t="shared" si="23"/>
        <v>132.5</v>
      </c>
      <c r="O40" s="11">
        <f t="shared" si="24"/>
        <v>375</v>
      </c>
      <c r="P40" s="4"/>
    </row>
    <row r="41" spans="1:16">
      <c r="A41" s="12" t="s">
        <v>29</v>
      </c>
      <c r="B41" s="13">
        <v>12</v>
      </c>
      <c r="C41" s="5">
        <v>11</v>
      </c>
      <c r="D41" s="4">
        <f>1385/12</f>
        <v>115.41666666666667</v>
      </c>
      <c r="E41" s="4">
        <f t="shared" si="20"/>
        <v>9</v>
      </c>
      <c r="F41" s="4">
        <f t="shared" si="25"/>
        <v>0</v>
      </c>
      <c r="G41" s="11">
        <f t="shared" si="26"/>
        <v>1038.75</v>
      </c>
      <c r="H41" s="11">
        <f t="shared" si="27"/>
        <v>1269.5833333333335</v>
      </c>
      <c r="I41" s="4">
        <v>135</v>
      </c>
      <c r="J41" s="11">
        <f t="shared" si="21"/>
        <v>1215</v>
      </c>
      <c r="K41" s="11">
        <f>0+0+2</f>
        <v>2</v>
      </c>
      <c r="L41" s="11">
        <f t="shared" si="29"/>
        <v>270</v>
      </c>
      <c r="M41" s="11">
        <f t="shared" si="22"/>
        <v>1485</v>
      </c>
      <c r="N41" s="11">
        <f t="shared" si="23"/>
        <v>215.41666666666652</v>
      </c>
      <c r="O41" s="11">
        <f t="shared" si="24"/>
        <v>270</v>
      </c>
      <c r="P41" s="4"/>
    </row>
    <row r="42" spans="1:16">
      <c r="A42" s="12" t="s">
        <v>89</v>
      </c>
      <c r="B42" s="13">
        <v>25</v>
      </c>
      <c r="C42" s="5">
        <v>50</v>
      </c>
      <c r="D42" s="4">
        <f>1800/25</f>
        <v>72</v>
      </c>
      <c r="E42" s="4">
        <f t="shared" si="20"/>
        <v>33.5</v>
      </c>
      <c r="F42" s="4">
        <f t="shared" si="25"/>
        <v>0</v>
      </c>
      <c r="G42" s="11">
        <f t="shared" si="26"/>
        <v>2412</v>
      </c>
      <c r="H42" s="11">
        <f t="shared" si="27"/>
        <v>3600</v>
      </c>
      <c r="I42" s="4">
        <v>100</v>
      </c>
      <c r="J42" s="11">
        <f t="shared" si="21"/>
        <v>3350</v>
      </c>
      <c r="K42" s="11">
        <f>0+0+3+1+0.5+1.5+1+2+4+3.5</f>
        <v>16.5</v>
      </c>
      <c r="L42" s="11">
        <f t="shared" si="29"/>
        <v>1650</v>
      </c>
      <c r="M42" s="11">
        <f>J41+L41</f>
        <v>1485</v>
      </c>
      <c r="N42" s="11">
        <f t="shared" si="23"/>
        <v>-2115</v>
      </c>
      <c r="O42" s="11">
        <f t="shared" si="24"/>
        <v>1650</v>
      </c>
      <c r="P42" s="4"/>
    </row>
    <row r="43" spans="1:16">
      <c r="A43" s="12" t="s">
        <v>30</v>
      </c>
      <c r="B43" s="13">
        <v>24</v>
      </c>
      <c r="C43" s="5">
        <v>1</v>
      </c>
      <c r="D43" s="4">
        <f>1400/24</f>
        <v>58.333333333333336</v>
      </c>
      <c r="E43" s="4">
        <f t="shared" si="20"/>
        <v>0</v>
      </c>
      <c r="F43" s="4">
        <f t="shared" si="25"/>
        <v>0</v>
      </c>
      <c r="G43" s="11">
        <f t="shared" si="26"/>
        <v>0</v>
      </c>
      <c r="H43" s="11">
        <f t="shared" si="27"/>
        <v>58.333333333333336</v>
      </c>
      <c r="I43" s="4">
        <v>70</v>
      </c>
      <c r="J43" s="11">
        <f t="shared" si="21"/>
        <v>0</v>
      </c>
      <c r="K43" s="11">
        <f>0+0+1</f>
        <v>1</v>
      </c>
      <c r="L43" s="11">
        <f t="shared" si="29"/>
        <v>70</v>
      </c>
      <c r="M43" s="11">
        <f t="shared" si="22"/>
        <v>70</v>
      </c>
      <c r="N43" s="11">
        <f t="shared" si="23"/>
        <v>11.666666666666664</v>
      </c>
      <c r="O43" s="11">
        <f t="shared" si="24"/>
        <v>70</v>
      </c>
      <c r="P43" s="4"/>
    </row>
    <row r="44" spans="1:16" s="1" customFormat="1" ht="15.75" thickBot="1">
      <c r="A44" s="20" t="s">
        <v>12</v>
      </c>
      <c r="B44" s="16"/>
      <c r="C44" s="16"/>
      <c r="D44" s="16"/>
      <c r="E44" s="16"/>
      <c r="F44" s="4">
        <f t="shared" si="25"/>
        <v>0</v>
      </c>
      <c r="G44" s="17">
        <f>SUM(G36:G43)</f>
        <v>8248.4583333333321</v>
      </c>
      <c r="H44" s="11">
        <f t="shared" si="27"/>
        <v>0</v>
      </c>
      <c r="I44" s="16"/>
      <c r="J44" s="21">
        <f>SUM(J36:J43)</f>
        <v>10082</v>
      </c>
      <c r="K44" s="11"/>
      <c r="L44" s="17">
        <f>SUM(L36:L43)</f>
        <v>5346</v>
      </c>
      <c r="M44" s="21">
        <f>SUM(M36:M43)</f>
        <v>11913</v>
      </c>
      <c r="N44" s="11">
        <f t="shared" si="23"/>
        <v>11913</v>
      </c>
      <c r="O44" s="18">
        <f>SUM(O36:O43)-P44</f>
        <v>0</v>
      </c>
      <c r="P44" s="17">
        <f>0+0+570+655+50+765+685+100+815+670+496+540</f>
        <v>5346</v>
      </c>
    </row>
    <row r="45" spans="1:16" ht="16.5" thickTop="1">
      <c r="A45" s="70" t="s">
        <v>31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</row>
    <row r="46" spans="1:16">
      <c r="A46" s="3" t="s">
        <v>2</v>
      </c>
      <c r="B46" s="35" t="s">
        <v>18</v>
      </c>
      <c r="C46" s="35" t="s">
        <v>22</v>
      </c>
      <c r="D46" s="36" t="s">
        <v>68</v>
      </c>
      <c r="E46" s="36" t="s">
        <v>6</v>
      </c>
      <c r="F46" s="36" t="s">
        <v>3</v>
      </c>
      <c r="G46" s="36" t="s">
        <v>44</v>
      </c>
      <c r="H46" s="36" t="s">
        <v>45</v>
      </c>
      <c r="I46" s="36" t="s">
        <v>49</v>
      </c>
      <c r="J46" s="36" t="s">
        <v>15</v>
      </c>
      <c r="K46" s="36" t="s">
        <v>36</v>
      </c>
      <c r="L46" s="36" t="s">
        <v>37</v>
      </c>
      <c r="M46" s="36" t="s">
        <v>47</v>
      </c>
      <c r="N46" s="36" t="s">
        <v>48</v>
      </c>
      <c r="O46" s="36" t="s">
        <v>16</v>
      </c>
      <c r="P46" s="36" t="s">
        <v>4</v>
      </c>
    </row>
    <row r="47" spans="1:16">
      <c r="A47" s="12" t="s">
        <v>32</v>
      </c>
      <c r="B47" s="13">
        <v>50</v>
      </c>
      <c r="C47" s="5">
        <v>68</v>
      </c>
      <c r="D47" s="4">
        <f>3850/50</f>
        <v>77</v>
      </c>
      <c r="E47" s="4">
        <f>(C47+(F47*B47))-K47</f>
        <v>53.5</v>
      </c>
      <c r="F47" s="4">
        <f>0+0</f>
        <v>0</v>
      </c>
      <c r="G47" s="11">
        <f>E47*D47</f>
        <v>4119.5</v>
      </c>
      <c r="H47" s="11">
        <f>(E47+K47)*D47</f>
        <v>5236</v>
      </c>
      <c r="I47" s="4">
        <v>115</v>
      </c>
      <c r="J47" s="11">
        <f>(I47*E47)</f>
        <v>6152.5</v>
      </c>
      <c r="K47" s="11">
        <f>0+0+2.5+2.5+3.5+0.25+1+1+0.5+1+2.25</f>
        <v>14.5</v>
      </c>
      <c r="L47" s="11">
        <f>K47*I47</f>
        <v>1667.5</v>
      </c>
      <c r="M47" s="11">
        <f>J47+L47</f>
        <v>7820</v>
      </c>
      <c r="N47" s="11">
        <f>M47-H47</f>
        <v>2584</v>
      </c>
      <c r="O47" s="11">
        <f>L47</f>
        <v>1667.5</v>
      </c>
      <c r="P47" s="4"/>
    </row>
    <row r="48" spans="1:16">
      <c r="A48" s="12" t="s">
        <v>33</v>
      </c>
      <c r="B48" s="13">
        <v>12</v>
      </c>
      <c r="C48" s="5">
        <v>0</v>
      </c>
      <c r="D48" s="4"/>
      <c r="E48" s="4">
        <f>(C48+(F48*B48))-K48</f>
        <v>0</v>
      </c>
      <c r="F48" s="4">
        <f>0+0</f>
        <v>0</v>
      </c>
      <c r="G48" s="11">
        <f>E48*D48</f>
        <v>0</v>
      </c>
      <c r="H48" s="11">
        <f>(E48+K48)*D48</f>
        <v>0</v>
      </c>
      <c r="I48" s="4"/>
      <c r="J48" s="11">
        <f>(I48*E48)</f>
        <v>0</v>
      </c>
      <c r="K48" s="11">
        <f>0+0</f>
        <v>0</v>
      </c>
      <c r="L48" s="11">
        <f>K48*I48</f>
        <v>0</v>
      </c>
      <c r="M48" s="11">
        <f>J48+L48</f>
        <v>0</v>
      </c>
      <c r="N48" s="11">
        <f>M48-H48</f>
        <v>0</v>
      </c>
      <c r="O48" s="11">
        <f>L48</f>
        <v>0</v>
      </c>
      <c r="P48" s="4"/>
    </row>
    <row r="49" spans="1:16">
      <c r="A49" s="12" t="s">
        <v>34</v>
      </c>
      <c r="B49" s="13">
        <v>24</v>
      </c>
      <c r="C49" s="5">
        <v>0</v>
      </c>
      <c r="D49" s="4"/>
      <c r="E49" s="4">
        <f>(C49+(F49*B49))-K49</f>
        <v>0</v>
      </c>
      <c r="F49" s="4">
        <f>0+0</f>
        <v>0</v>
      </c>
      <c r="G49" s="11">
        <f>E49*D49</f>
        <v>0</v>
      </c>
      <c r="H49" s="11">
        <f>(E49+K49)*D49</f>
        <v>0</v>
      </c>
      <c r="I49" s="4"/>
      <c r="J49" s="11">
        <f>(I49*E49)</f>
        <v>0</v>
      </c>
      <c r="K49" s="11">
        <f>0+0</f>
        <v>0</v>
      </c>
      <c r="L49" s="11">
        <f>K49*I49</f>
        <v>0</v>
      </c>
      <c r="M49" s="11">
        <f>J49+L49</f>
        <v>0</v>
      </c>
      <c r="N49" s="11">
        <f>M49-H49</f>
        <v>0</v>
      </c>
      <c r="O49" s="11">
        <f>L49</f>
        <v>0</v>
      </c>
      <c r="P49" s="4"/>
    </row>
    <row r="50" spans="1:16" s="1" customFormat="1" ht="15.75" thickBot="1">
      <c r="A50" s="20" t="s">
        <v>12</v>
      </c>
      <c r="B50" s="16"/>
      <c r="C50" s="16"/>
      <c r="D50" s="16"/>
      <c r="E50" s="16"/>
      <c r="F50" s="16"/>
      <c r="G50" s="17">
        <f>SUM(G47:G49)</f>
        <v>4119.5</v>
      </c>
      <c r="H50" s="17">
        <f>SUM(H47:H49)</f>
        <v>5236</v>
      </c>
      <c r="I50" s="16"/>
      <c r="J50" s="17">
        <f>SUM(J47:J49)</f>
        <v>6152.5</v>
      </c>
      <c r="K50" s="17"/>
      <c r="L50" s="17">
        <f>SUM(L47:L49)</f>
        <v>1667.5</v>
      </c>
      <c r="M50" s="17">
        <f>SUM(M47:M49)</f>
        <v>7820</v>
      </c>
      <c r="N50" s="17">
        <f>SUM(N47:N49)</f>
        <v>2584</v>
      </c>
      <c r="O50" s="17">
        <f>SUM(O47:O49)-P50</f>
        <v>-0.5</v>
      </c>
      <c r="P50" s="17">
        <f>0+0+288+287+403+28+115+115+58+115+259</f>
        <v>1668</v>
      </c>
    </row>
    <row r="51" spans="1:16" s="1" customFormat="1" ht="16.5" thickTop="1">
      <c r="A51" s="76" t="s">
        <v>38</v>
      </c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</row>
    <row r="52" spans="1:16" s="1" customFormat="1">
      <c r="A52" s="3" t="s">
        <v>2</v>
      </c>
      <c r="B52" s="35" t="s">
        <v>18</v>
      </c>
      <c r="C52" s="35" t="s">
        <v>22</v>
      </c>
      <c r="D52" s="36" t="s">
        <v>68</v>
      </c>
      <c r="E52" s="36" t="s">
        <v>6</v>
      </c>
      <c r="F52" s="36" t="s">
        <v>3</v>
      </c>
      <c r="G52" s="36" t="s">
        <v>44</v>
      </c>
      <c r="H52" s="36" t="s">
        <v>45</v>
      </c>
      <c r="I52" s="36" t="s">
        <v>49</v>
      </c>
      <c r="J52" s="36" t="s">
        <v>15</v>
      </c>
      <c r="K52" s="36" t="s">
        <v>36</v>
      </c>
      <c r="L52" s="36" t="s">
        <v>37</v>
      </c>
      <c r="M52" s="36" t="s">
        <v>47</v>
      </c>
      <c r="N52" s="36" t="s">
        <v>48</v>
      </c>
      <c r="O52" s="36" t="s">
        <v>16</v>
      </c>
      <c r="P52" s="36" t="s">
        <v>4</v>
      </c>
    </row>
    <row r="53" spans="1:16" s="2" customFormat="1">
      <c r="A53" s="12" t="s">
        <v>67</v>
      </c>
      <c r="B53" s="5">
        <v>8</v>
      </c>
      <c r="C53" s="5">
        <v>2</v>
      </c>
      <c r="D53" s="65">
        <f>1816/8</f>
        <v>227</v>
      </c>
      <c r="E53" s="4">
        <f t="shared" ref="E53:E63" si="30">(C53+(F53*B53))-K53</f>
        <v>2</v>
      </c>
      <c r="F53" s="4">
        <f>0+0</f>
        <v>0</v>
      </c>
      <c r="G53" s="11">
        <f t="shared" ref="G53:G63" si="31">E53*D53</f>
        <v>454</v>
      </c>
      <c r="H53" s="11">
        <f t="shared" ref="H53:H63" si="32">(E53+K53)*D53</f>
        <v>454</v>
      </c>
      <c r="I53" s="5">
        <v>250</v>
      </c>
      <c r="J53" s="11">
        <f t="shared" ref="J53:J63" si="33">(I53*E53)</f>
        <v>500</v>
      </c>
      <c r="K53" s="11">
        <f>0+0</f>
        <v>0</v>
      </c>
      <c r="L53" s="11">
        <f>K53*I53</f>
        <v>0</v>
      </c>
      <c r="M53" s="11">
        <f t="shared" ref="M53:M63" si="34">J53+L53</f>
        <v>500</v>
      </c>
      <c r="N53" s="11">
        <f t="shared" ref="N53:N63" si="35">M53-H53</f>
        <v>46</v>
      </c>
      <c r="O53" s="11">
        <f t="shared" ref="O53:O63" si="36">L53</f>
        <v>0</v>
      </c>
      <c r="P53" s="32"/>
    </row>
    <row r="54" spans="1:16" s="2" customFormat="1">
      <c r="A54" s="12" t="s">
        <v>69</v>
      </c>
      <c r="B54" s="5">
        <v>8</v>
      </c>
      <c r="C54" s="5">
        <v>4</v>
      </c>
      <c r="D54" s="65">
        <f>1890/8</f>
        <v>236.25</v>
      </c>
      <c r="E54" s="4">
        <f t="shared" si="30"/>
        <v>3</v>
      </c>
      <c r="F54" s="4">
        <f t="shared" ref="F54:F63" si="37">0+0</f>
        <v>0</v>
      </c>
      <c r="G54" s="11">
        <f t="shared" si="31"/>
        <v>708.75</v>
      </c>
      <c r="H54" s="11">
        <f t="shared" si="32"/>
        <v>945</v>
      </c>
      <c r="I54" s="5">
        <v>250</v>
      </c>
      <c r="J54" s="11">
        <f t="shared" si="33"/>
        <v>750</v>
      </c>
      <c r="K54" s="11">
        <f>0+0+1</f>
        <v>1</v>
      </c>
      <c r="L54" s="11">
        <f t="shared" ref="L54:L63" si="38">K54*I54</f>
        <v>250</v>
      </c>
      <c r="M54" s="11">
        <f t="shared" si="34"/>
        <v>1000</v>
      </c>
      <c r="N54" s="11">
        <f t="shared" si="35"/>
        <v>55</v>
      </c>
      <c r="O54" s="11">
        <f t="shared" si="36"/>
        <v>250</v>
      </c>
      <c r="P54" s="32"/>
    </row>
    <row r="55" spans="1:16" s="2" customFormat="1">
      <c r="A55" s="12" t="s">
        <v>70</v>
      </c>
      <c r="B55" s="5">
        <v>64</v>
      </c>
      <c r="C55" s="5">
        <v>0</v>
      </c>
      <c r="D55" s="65">
        <f>1700/64</f>
        <v>26.5625</v>
      </c>
      <c r="E55" s="4">
        <f t="shared" si="30"/>
        <v>0</v>
      </c>
      <c r="F55" s="4">
        <f t="shared" si="37"/>
        <v>0</v>
      </c>
      <c r="G55" s="11">
        <f t="shared" si="31"/>
        <v>0</v>
      </c>
      <c r="H55" s="11">
        <f t="shared" si="32"/>
        <v>0</v>
      </c>
      <c r="I55" s="5">
        <v>30</v>
      </c>
      <c r="J55" s="11">
        <f t="shared" si="33"/>
        <v>0</v>
      </c>
      <c r="K55" s="11">
        <f t="shared" ref="K55:K63" si="39">0+0</f>
        <v>0</v>
      </c>
      <c r="L55" s="11">
        <f t="shared" si="38"/>
        <v>0</v>
      </c>
      <c r="M55" s="11">
        <f t="shared" si="34"/>
        <v>0</v>
      </c>
      <c r="N55" s="11">
        <f t="shared" si="35"/>
        <v>0</v>
      </c>
      <c r="O55" s="11">
        <f t="shared" si="36"/>
        <v>0</v>
      </c>
      <c r="P55" s="32"/>
    </row>
    <row r="56" spans="1:16" s="2" customFormat="1">
      <c r="A56" s="12" t="s">
        <v>71</v>
      </c>
      <c r="B56" s="5">
        <v>72</v>
      </c>
      <c r="C56" s="5">
        <v>0</v>
      </c>
      <c r="D56" s="65">
        <f>1700/72</f>
        <v>23.611111111111111</v>
      </c>
      <c r="E56" s="4">
        <f>(C56+(F56*B56))-K56</f>
        <v>0</v>
      </c>
      <c r="F56" s="4">
        <f t="shared" si="37"/>
        <v>0</v>
      </c>
      <c r="G56" s="11">
        <f t="shared" si="31"/>
        <v>0</v>
      </c>
      <c r="H56" s="11">
        <f t="shared" si="32"/>
        <v>0</v>
      </c>
      <c r="I56" s="5">
        <v>30</v>
      </c>
      <c r="J56" s="11">
        <f t="shared" si="33"/>
        <v>0</v>
      </c>
      <c r="K56" s="11">
        <f t="shared" si="39"/>
        <v>0</v>
      </c>
      <c r="L56" s="11">
        <f t="shared" si="38"/>
        <v>0</v>
      </c>
      <c r="M56" s="11">
        <f t="shared" si="34"/>
        <v>0</v>
      </c>
      <c r="N56" s="11">
        <f t="shared" si="35"/>
        <v>0</v>
      </c>
      <c r="O56" s="11">
        <f t="shared" si="36"/>
        <v>0</v>
      </c>
      <c r="P56" s="32"/>
    </row>
    <row r="57" spans="1:16" s="2" customFormat="1">
      <c r="A57" s="12" t="s">
        <v>91</v>
      </c>
      <c r="B57" s="5">
        <v>40</v>
      </c>
      <c r="C57" s="5">
        <v>26</v>
      </c>
      <c r="D57" s="65">
        <f>500/40</f>
        <v>12.5</v>
      </c>
      <c r="E57" s="4">
        <f>(C57+(F57*B57))-K57</f>
        <v>21</v>
      </c>
      <c r="F57" s="4">
        <f t="shared" si="37"/>
        <v>0</v>
      </c>
      <c r="G57" s="11">
        <f t="shared" si="31"/>
        <v>262.5</v>
      </c>
      <c r="H57" s="11">
        <f t="shared" si="32"/>
        <v>325</v>
      </c>
      <c r="I57" s="5">
        <v>20</v>
      </c>
      <c r="J57" s="11">
        <f t="shared" si="33"/>
        <v>420</v>
      </c>
      <c r="K57" s="11">
        <f>0+0+1+2+2</f>
        <v>5</v>
      </c>
      <c r="L57" s="11">
        <f t="shared" si="38"/>
        <v>100</v>
      </c>
      <c r="M57" s="11">
        <f t="shared" si="34"/>
        <v>520</v>
      </c>
      <c r="N57" s="11">
        <f t="shared" si="35"/>
        <v>195</v>
      </c>
      <c r="O57" s="11">
        <f t="shared" si="36"/>
        <v>100</v>
      </c>
      <c r="P57" s="32"/>
    </row>
    <row r="58" spans="1:16" s="2" customFormat="1">
      <c r="A58" s="12" t="s">
        <v>86</v>
      </c>
      <c r="B58" s="5">
        <v>50</v>
      </c>
      <c r="C58" s="5">
        <v>4</v>
      </c>
      <c r="D58" s="5">
        <f>1500/50</f>
        <v>30</v>
      </c>
      <c r="E58" s="4">
        <f t="shared" si="30"/>
        <v>50</v>
      </c>
      <c r="F58" s="4">
        <f>0+0+1</f>
        <v>1</v>
      </c>
      <c r="G58" s="11">
        <f t="shared" si="31"/>
        <v>1500</v>
      </c>
      <c r="H58" s="11">
        <f t="shared" si="32"/>
        <v>1620</v>
      </c>
      <c r="I58" s="5">
        <v>35</v>
      </c>
      <c r="J58" s="11">
        <f t="shared" si="33"/>
        <v>1750</v>
      </c>
      <c r="K58" s="11">
        <f>0+0+2+2-2+1+1</f>
        <v>4</v>
      </c>
      <c r="L58" s="11">
        <f t="shared" si="38"/>
        <v>140</v>
      </c>
      <c r="M58" s="11">
        <f t="shared" si="34"/>
        <v>1890</v>
      </c>
      <c r="N58" s="11">
        <f t="shared" si="35"/>
        <v>270</v>
      </c>
      <c r="O58" s="11">
        <f t="shared" si="36"/>
        <v>140</v>
      </c>
      <c r="P58" s="32"/>
    </row>
    <row r="59" spans="1:16" s="2" customFormat="1">
      <c r="A59" s="12" t="s">
        <v>97</v>
      </c>
      <c r="B59" s="5">
        <v>8</v>
      </c>
      <c r="C59" s="5">
        <v>8</v>
      </c>
      <c r="D59" s="5">
        <f>1800/8</f>
        <v>225</v>
      </c>
      <c r="E59" s="4">
        <f t="shared" si="30"/>
        <v>7</v>
      </c>
      <c r="F59" s="4">
        <f t="shared" si="37"/>
        <v>0</v>
      </c>
      <c r="G59" s="11">
        <f t="shared" si="31"/>
        <v>1575</v>
      </c>
      <c r="H59" s="11">
        <f t="shared" si="32"/>
        <v>1800</v>
      </c>
      <c r="I59" s="5">
        <v>250</v>
      </c>
      <c r="J59" s="11">
        <f t="shared" si="33"/>
        <v>1750</v>
      </c>
      <c r="K59" s="11">
        <f>0+0+1</f>
        <v>1</v>
      </c>
      <c r="L59" s="11">
        <f t="shared" si="38"/>
        <v>250</v>
      </c>
      <c r="M59" s="11">
        <f t="shared" si="34"/>
        <v>2000</v>
      </c>
      <c r="N59" s="11">
        <f t="shared" si="35"/>
        <v>200</v>
      </c>
      <c r="O59" s="11">
        <f t="shared" si="36"/>
        <v>250</v>
      </c>
      <c r="P59" s="32"/>
    </row>
    <row r="60" spans="1:16" s="2" customFormat="1">
      <c r="A60" s="12" t="s">
        <v>98</v>
      </c>
      <c r="B60" s="5">
        <v>10</v>
      </c>
      <c r="C60" s="5">
        <v>10</v>
      </c>
      <c r="D60" s="5">
        <f>1300/10</f>
        <v>130</v>
      </c>
      <c r="E60" s="4">
        <f t="shared" si="30"/>
        <v>9</v>
      </c>
      <c r="F60" s="4">
        <f t="shared" si="37"/>
        <v>0</v>
      </c>
      <c r="G60" s="11">
        <f t="shared" si="31"/>
        <v>1170</v>
      </c>
      <c r="H60" s="11">
        <f t="shared" si="32"/>
        <v>1300</v>
      </c>
      <c r="I60" s="5">
        <v>170</v>
      </c>
      <c r="J60" s="11">
        <f t="shared" si="33"/>
        <v>1530</v>
      </c>
      <c r="K60" s="11">
        <f>0+0+1</f>
        <v>1</v>
      </c>
      <c r="L60" s="11">
        <f t="shared" si="38"/>
        <v>170</v>
      </c>
      <c r="M60" s="11">
        <f t="shared" si="34"/>
        <v>1700</v>
      </c>
      <c r="N60" s="11">
        <f t="shared" si="35"/>
        <v>400</v>
      </c>
      <c r="O60" s="11">
        <f t="shared" si="36"/>
        <v>170</v>
      </c>
      <c r="P60" s="32"/>
    </row>
    <row r="61" spans="1:16" s="2" customFormat="1">
      <c r="A61" s="12" t="s">
        <v>39</v>
      </c>
      <c r="B61" s="5"/>
      <c r="C61" s="5">
        <v>0</v>
      </c>
      <c r="D61" s="5"/>
      <c r="E61" s="4">
        <f t="shared" si="30"/>
        <v>0</v>
      </c>
      <c r="F61" s="4">
        <f t="shared" si="37"/>
        <v>0</v>
      </c>
      <c r="G61" s="11">
        <f t="shared" si="31"/>
        <v>0</v>
      </c>
      <c r="H61" s="11">
        <f t="shared" si="32"/>
        <v>0</v>
      </c>
      <c r="I61" s="5"/>
      <c r="J61" s="11">
        <f t="shared" si="33"/>
        <v>0</v>
      </c>
      <c r="K61" s="11">
        <f t="shared" si="39"/>
        <v>0</v>
      </c>
      <c r="L61" s="11">
        <f t="shared" si="38"/>
        <v>0</v>
      </c>
      <c r="M61" s="11">
        <f t="shared" si="34"/>
        <v>0</v>
      </c>
      <c r="N61" s="11">
        <f t="shared" si="35"/>
        <v>0</v>
      </c>
      <c r="O61" s="11">
        <f t="shared" si="36"/>
        <v>0</v>
      </c>
      <c r="P61" s="32"/>
    </row>
    <row r="62" spans="1:16" s="2" customFormat="1">
      <c r="A62" s="12" t="s">
        <v>40</v>
      </c>
      <c r="B62" s="5"/>
      <c r="C62" s="5">
        <v>0</v>
      </c>
      <c r="D62" s="5"/>
      <c r="E62" s="4">
        <f t="shared" si="30"/>
        <v>0</v>
      </c>
      <c r="F62" s="4">
        <f t="shared" si="37"/>
        <v>0</v>
      </c>
      <c r="G62" s="11">
        <f t="shared" si="31"/>
        <v>0</v>
      </c>
      <c r="H62" s="11">
        <f t="shared" si="32"/>
        <v>0</v>
      </c>
      <c r="I62" s="5"/>
      <c r="J62" s="11">
        <f t="shared" si="33"/>
        <v>0</v>
      </c>
      <c r="K62" s="11">
        <f t="shared" si="39"/>
        <v>0</v>
      </c>
      <c r="L62" s="11">
        <f t="shared" si="38"/>
        <v>0</v>
      </c>
      <c r="M62" s="11">
        <f t="shared" si="34"/>
        <v>0</v>
      </c>
      <c r="N62" s="11">
        <f t="shared" si="35"/>
        <v>0</v>
      </c>
      <c r="O62" s="11">
        <f t="shared" si="36"/>
        <v>0</v>
      </c>
      <c r="P62" s="32"/>
    </row>
    <row r="63" spans="1:16" s="2" customFormat="1">
      <c r="A63" s="12" t="s">
        <v>41</v>
      </c>
      <c r="B63" s="5"/>
      <c r="C63" s="5">
        <v>0</v>
      </c>
      <c r="D63" s="5"/>
      <c r="E63" s="4">
        <f t="shared" si="30"/>
        <v>0</v>
      </c>
      <c r="F63" s="4">
        <f t="shared" si="37"/>
        <v>0</v>
      </c>
      <c r="G63" s="11">
        <f t="shared" si="31"/>
        <v>0</v>
      </c>
      <c r="H63" s="11">
        <f t="shared" si="32"/>
        <v>0</v>
      </c>
      <c r="I63" s="5"/>
      <c r="J63" s="11">
        <f t="shared" si="33"/>
        <v>0</v>
      </c>
      <c r="K63" s="11">
        <f t="shared" si="39"/>
        <v>0</v>
      </c>
      <c r="L63" s="11">
        <f t="shared" si="38"/>
        <v>0</v>
      </c>
      <c r="M63" s="11">
        <f t="shared" si="34"/>
        <v>0</v>
      </c>
      <c r="N63" s="11">
        <f t="shared" si="35"/>
        <v>0</v>
      </c>
      <c r="O63" s="11">
        <f t="shared" si="36"/>
        <v>0</v>
      </c>
      <c r="P63" s="32"/>
    </row>
    <row r="64" spans="1:16" s="2" customFormat="1" ht="15.75" thickBot="1">
      <c r="A64" s="38" t="s">
        <v>12</v>
      </c>
      <c r="B64" s="39"/>
      <c r="C64" s="39"/>
      <c r="D64" s="39"/>
      <c r="E64" s="16"/>
      <c r="F64" s="40"/>
      <c r="G64" s="17">
        <f>SUM(G53:G63)</f>
        <v>5670.25</v>
      </c>
      <c r="H64" s="17">
        <f>SUM(H53:H63)</f>
        <v>6444</v>
      </c>
      <c r="I64" s="39"/>
      <c r="J64" s="17">
        <f>SUM(J53:J63)</f>
        <v>6700</v>
      </c>
      <c r="K64" s="41"/>
      <c r="L64" s="17">
        <f>SUM(L53:L63)</f>
        <v>910</v>
      </c>
      <c r="M64" s="17">
        <f>SUM(M53:M63)</f>
        <v>7610</v>
      </c>
      <c r="N64" s="17">
        <f>SUM(N53:N63)</f>
        <v>1166</v>
      </c>
      <c r="O64" s="17">
        <f>SUM(O53:O63)-P64</f>
        <v>0</v>
      </c>
      <c r="P64" s="17">
        <f>0+0+20+70+40+285+420+35+40</f>
        <v>910</v>
      </c>
    </row>
    <row r="65" spans="1:16" s="2" customFormat="1" ht="16.5" thickTop="1">
      <c r="A65" s="78" t="s">
        <v>42</v>
      </c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1:16" s="2" customFormat="1">
      <c r="A66" s="3" t="s">
        <v>2</v>
      </c>
      <c r="B66" s="35" t="s">
        <v>18</v>
      </c>
      <c r="C66" s="35" t="s">
        <v>22</v>
      </c>
      <c r="D66" s="36" t="s">
        <v>5</v>
      </c>
      <c r="E66" s="36" t="s">
        <v>6</v>
      </c>
      <c r="F66" s="36" t="s">
        <v>3</v>
      </c>
      <c r="G66" s="36" t="s">
        <v>44</v>
      </c>
      <c r="H66" s="36" t="s">
        <v>45</v>
      </c>
      <c r="I66" s="36" t="s">
        <v>49</v>
      </c>
      <c r="J66" s="36" t="s">
        <v>15</v>
      </c>
      <c r="K66" s="36" t="s">
        <v>36</v>
      </c>
      <c r="L66" s="36" t="s">
        <v>37</v>
      </c>
      <c r="M66" s="36" t="s">
        <v>47</v>
      </c>
      <c r="N66" s="36" t="s">
        <v>48</v>
      </c>
      <c r="O66" s="36" t="s">
        <v>16</v>
      </c>
      <c r="P66" s="36" t="s">
        <v>4</v>
      </c>
    </row>
    <row r="67" spans="1:16" s="2" customFormat="1">
      <c r="A67" s="12" t="s">
        <v>72</v>
      </c>
      <c r="B67" s="5">
        <v>16</v>
      </c>
      <c r="C67" s="5">
        <v>11</v>
      </c>
      <c r="D67" s="5">
        <f>2256/16</f>
        <v>141</v>
      </c>
      <c r="E67" s="4">
        <f t="shared" ref="E67:E74" si="40">(C67+(F67*B67))-K67</f>
        <v>10</v>
      </c>
      <c r="F67" s="4">
        <f>0+0</f>
        <v>0</v>
      </c>
      <c r="G67" s="11">
        <f t="shared" ref="G67:G74" si="41">E67*D67</f>
        <v>1410</v>
      </c>
      <c r="H67" s="11">
        <f t="shared" ref="H67:H74" si="42">(E67+K67)*D67</f>
        <v>1551</v>
      </c>
      <c r="I67" s="5">
        <v>155</v>
      </c>
      <c r="J67" s="11">
        <f t="shared" ref="J67:J74" si="43">(I67*E67)</f>
        <v>1550</v>
      </c>
      <c r="K67" s="11">
        <f>0+0+1</f>
        <v>1</v>
      </c>
      <c r="L67" s="11">
        <f t="shared" ref="L67:L74" si="44">K67*I67</f>
        <v>155</v>
      </c>
      <c r="M67" s="11">
        <f t="shared" ref="M67:M74" si="45">J67+L67</f>
        <v>1705</v>
      </c>
      <c r="N67" s="11">
        <f t="shared" ref="N67:N74" si="46">M67-H67</f>
        <v>154</v>
      </c>
      <c r="O67" s="11">
        <f t="shared" ref="O67:O74" si="47">L67</f>
        <v>155</v>
      </c>
      <c r="P67" s="32"/>
    </row>
    <row r="68" spans="1:16" s="2" customFormat="1">
      <c r="A68" s="12" t="s">
        <v>73</v>
      </c>
      <c r="B68" s="5">
        <v>16</v>
      </c>
      <c r="C68" s="5">
        <v>5</v>
      </c>
      <c r="D68" s="65">
        <f>1237/16</f>
        <v>77.3125</v>
      </c>
      <c r="E68" s="4">
        <f t="shared" si="40"/>
        <v>4</v>
      </c>
      <c r="F68" s="4">
        <f t="shared" ref="F68:F74" si="48">0+0</f>
        <v>0</v>
      </c>
      <c r="G68" s="11">
        <f t="shared" si="41"/>
        <v>309.25</v>
      </c>
      <c r="H68" s="11">
        <f t="shared" si="42"/>
        <v>386.5625</v>
      </c>
      <c r="I68" s="5">
        <v>90</v>
      </c>
      <c r="J68" s="11">
        <f t="shared" si="43"/>
        <v>360</v>
      </c>
      <c r="K68" s="11">
        <f>0+0+1</f>
        <v>1</v>
      </c>
      <c r="L68" s="11">
        <f t="shared" si="44"/>
        <v>90</v>
      </c>
      <c r="M68" s="11">
        <f t="shared" si="45"/>
        <v>450</v>
      </c>
      <c r="N68" s="11">
        <f t="shared" si="46"/>
        <v>63.4375</v>
      </c>
      <c r="O68" s="11">
        <f t="shared" si="47"/>
        <v>90</v>
      </c>
      <c r="P68" s="32"/>
    </row>
    <row r="69" spans="1:16" s="2" customFormat="1">
      <c r="A69" s="12" t="s">
        <v>74</v>
      </c>
      <c r="B69" s="5">
        <v>18</v>
      </c>
      <c r="C69" s="5">
        <v>7</v>
      </c>
      <c r="D69" s="65">
        <f>1476/18</f>
        <v>82</v>
      </c>
      <c r="E69" s="4">
        <f t="shared" si="40"/>
        <v>5</v>
      </c>
      <c r="F69" s="4">
        <f t="shared" si="48"/>
        <v>0</v>
      </c>
      <c r="G69" s="11">
        <f t="shared" si="41"/>
        <v>410</v>
      </c>
      <c r="H69" s="11">
        <f t="shared" si="42"/>
        <v>574</v>
      </c>
      <c r="I69" s="5">
        <v>90</v>
      </c>
      <c r="J69" s="11">
        <f t="shared" si="43"/>
        <v>450</v>
      </c>
      <c r="K69" s="11">
        <f>0+0+1+1</f>
        <v>2</v>
      </c>
      <c r="L69" s="11">
        <f t="shared" si="44"/>
        <v>180</v>
      </c>
      <c r="M69" s="11">
        <f t="shared" si="45"/>
        <v>630</v>
      </c>
      <c r="N69" s="11">
        <f t="shared" si="46"/>
        <v>56</v>
      </c>
      <c r="O69" s="11">
        <f t="shared" si="47"/>
        <v>180</v>
      </c>
      <c r="P69" s="32"/>
    </row>
    <row r="70" spans="1:16" s="2" customFormat="1">
      <c r="A70" s="12" t="s">
        <v>75</v>
      </c>
      <c r="B70" s="5">
        <v>16</v>
      </c>
      <c r="C70" s="5">
        <v>4</v>
      </c>
      <c r="D70" s="65">
        <f>1310/16</f>
        <v>81.875</v>
      </c>
      <c r="E70" s="4">
        <f t="shared" si="40"/>
        <v>11</v>
      </c>
      <c r="F70" s="4">
        <f>0+0+1</f>
        <v>1</v>
      </c>
      <c r="G70" s="11">
        <f t="shared" si="41"/>
        <v>900.625</v>
      </c>
      <c r="H70" s="11">
        <f t="shared" si="42"/>
        <v>1637.5</v>
      </c>
      <c r="I70" s="5">
        <v>90</v>
      </c>
      <c r="J70" s="11">
        <f t="shared" si="43"/>
        <v>990</v>
      </c>
      <c r="K70" s="11">
        <f>0+0+2+2+1+2+1+1</f>
        <v>9</v>
      </c>
      <c r="L70" s="11">
        <f t="shared" si="44"/>
        <v>810</v>
      </c>
      <c r="M70" s="11">
        <f t="shared" si="45"/>
        <v>1800</v>
      </c>
      <c r="N70" s="11">
        <f t="shared" si="46"/>
        <v>162.5</v>
      </c>
      <c r="O70" s="11">
        <f t="shared" si="47"/>
        <v>810</v>
      </c>
      <c r="P70" s="32"/>
    </row>
    <row r="71" spans="1:16" s="2" customFormat="1">
      <c r="A71" s="12" t="s">
        <v>94</v>
      </c>
      <c r="B71" s="5">
        <v>12</v>
      </c>
      <c r="C71" s="5">
        <v>12</v>
      </c>
      <c r="D71" s="5">
        <f>444/12</f>
        <v>37</v>
      </c>
      <c r="E71" s="4">
        <f t="shared" si="40"/>
        <v>9</v>
      </c>
      <c r="F71" s="4">
        <f t="shared" si="48"/>
        <v>0</v>
      </c>
      <c r="G71" s="11">
        <f t="shared" si="41"/>
        <v>333</v>
      </c>
      <c r="H71" s="11">
        <f t="shared" si="42"/>
        <v>444</v>
      </c>
      <c r="I71" s="5">
        <v>50</v>
      </c>
      <c r="J71" s="11">
        <f t="shared" si="43"/>
        <v>450</v>
      </c>
      <c r="K71" s="11">
        <f>0+0+1+1+1</f>
        <v>3</v>
      </c>
      <c r="L71" s="11">
        <f t="shared" si="44"/>
        <v>150</v>
      </c>
      <c r="M71" s="11">
        <f t="shared" si="45"/>
        <v>600</v>
      </c>
      <c r="N71" s="11">
        <f t="shared" si="46"/>
        <v>156</v>
      </c>
      <c r="O71" s="11">
        <f t="shared" si="47"/>
        <v>150</v>
      </c>
      <c r="P71" s="32"/>
    </row>
    <row r="72" spans="1:16" s="2" customFormat="1">
      <c r="A72" s="12" t="s">
        <v>95</v>
      </c>
      <c r="B72" s="5">
        <v>12</v>
      </c>
      <c r="C72" s="5">
        <v>11</v>
      </c>
      <c r="D72" s="5">
        <f>420/12</f>
        <v>35</v>
      </c>
      <c r="E72" s="4">
        <f t="shared" si="40"/>
        <v>10</v>
      </c>
      <c r="F72" s="4">
        <f t="shared" si="48"/>
        <v>0</v>
      </c>
      <c r="G72" s="11">
        <f t="shared" si="41"/>
        <v>350</v>
      </c>
      <c r="H72" s="11">
        <f t="shared" si="42"/>
        <v>385</v>
      </c>
      <c r="I72" s="5">
        <v>50</v>
      </c>
      <c r="J72" s="11">
        <f t="shared" si="43"/>
        <v>500</v>
      </c>
      <c r="K72" s="11">
        <f>0+0+1</f>
        <v>1</v>
      </c>
      <c r="L72" s="11">
        <f t="shared" si="44"/>
        <v>50</v>
      </c>
      <c r="M72" s="11">
        <f t="shared" si="45"/>
        <v>550</v>
      </c>
      <c r="N72" s="11">
        <f t="shared" si="46"/>
        <v>165</v>
      </c>
      <c r="O72" s="11">
        <f t="shared" si="47"/>
        <v>50</v>
      </c>
      <c r="P72" s="32"/>
    </row>
    <row r="73" spans="1:16" s="2" customFormat="1">
      <c r="A73" s="12" t="s">
        <v>96</v>
      </c>
      <c r="B73" s="5">
        <v>12</v>
      </c>
      <c r="C73" s="5">
        <v>12</v>
      </c>
      <c r="D73" s="5">
        <f>420/12</f>
        <v>35</v>
      </c>
      <c r="E73" s="4">
        <f t="shared" si="40"/>
        <v>11</v>
      </c>
      <c r="F73" s="4">
        <f t="shared" si="48"/>
        <v>0</v>
      </c>
      <c r="G73" s="11">
        <f t="shared" si="41"/>
        <v>385</v>
      </c>
      <c r="H73" s="11">
        <f t="shared" si="42"/>
        <v>420</v>
      </c>
      <c r="I73" s="5">
        <v>50</v>
      </c>
      <c r="J73" s="11">
        <f t="shared" si="43"/>
        <v>550</v>
      </c>
      <c r="K73" s="11">
        <f>0+0+1</f>
        <v>1</v>
      </c>
      <c r="L73" s="11">
        <f t="shared" si="44"/>
        <v>50</v>
      </c>
      <c r="M73" s="11">
        <f t="shared" si="45"/>
        <v>600</v>
      </c>
      <c r="N73" s="11">
        <f t="shared" si="46"/>
        <v>180</v>
      </c>
      <c r="O73" s="11">
        <f t="shared" si="47"/>
        <v>50</v>
      </c>
      <c r="P73" s="32"/>
    </row>
    <row r="74" spans="1:16" s="2" customFormat="1">
      <c r="A74" s="12" t="s">
        <v>43</v>
      </c>
      <c r="B74" s="5"/>
      <c r="C74" s="5">
        <v>0</v>
      </c>
      <c r="D74" s="5"/>
      <c r="E74" s="4">
        <f t="shared" si="40"/>
        <v>0</v>
      </c>
      <c r="F74" s="4">
        <f t="shared" si="48"/>
        <v>0</v>
      </c>
      <c r="G74" s="11">
        <f t="shared" si="41"/>
        <v>0</v>
      </c>
      <c r="H74" s="11">
        <f t="shared" si="42"/>
        <v>0</v>
      </c>
      <c r="I74" s="5"/>
      <c r="J74" s="11">
        <f t="shared" si="43"/>
        <v>0</v>
      </c>
      <c r="K74" s="11">
        <f t="shared" ref="K74" si="49">0+0</f>
        <v>0</v>
      </c>
      <c r="L74" s="11">
        <f t="shared" si="44"/>
        <v>0</v>
      </c>
      <c r="M74" s="11">
        <f t="shared" si="45"/>
        <v>0</v>
      </c>
      <c r="N74" s="11">
        <f t="shared" si="46"/>
        <v>0</v>
      </c>
      <c r="O74" s="11">
        <f t="shared" si="47"/>
        <v>0</v>
      </c>
      <c r="P74" s="32"/>
    </row>
    <row r="75" spans="1:16" s="2" customFormat="1" ht="15.75" thickBot="1">
      <c r="A75" s="19" t="s">
        <v>12</v>
      </c>
      <c r="B75" s="39"/>
      <c r="C75" s="39"/>
      <c r="D75" s="39"/>
      <c r="E75" s="39"/>
      <c r="F75" s="39"/>
      <c r="G75" s="17">
        <f>SUM(G67:G74)</f>
        <v>4097.875</v>
      </c>
      <c r="H75" s="17">
        <f>SUM(H67:H74)</f>
        <v>5398.0625</v>
      </c>
      <c r="I75" s="39"/>
      <c r="J75" s="17">
        <f>SUM(J67:J74)</f>
        <v>4850</v>
      </c>
      <c r="K75" s="41"/>
      <c r="L75" s="17">
        <f>SUM(L67:L74)</f>
        <v>1485</v>
      </c>
      <c r="M75" s="17">
        <f>SUM(M67:M74)</f>
        <v>6335</v>
      </c>
      <c r="N75" s="17">
        <f>SUM(N67:N74)</f>
        <v>936.9375</v>
      </c>
      <c r="O75" s="17">
        <f>SUM(O67:O74)-P75</f>
        <v>0</v>
      </c>
      <c r="P75" s="17">
        <f>0+0+90+50+50+180+370+245+230+90+180</f>
        <v>1485</v>
      </c>
    </row>
    <row r="76" spans="1:16" s="2" customFormat="1" ht="15.75" thickTop="1">
      <c r="A76" s="29"/>
      <c r="B76" s="30"/>
      <c r="C76" s="30"/>
      <c r="D76" s="30"/>
      <c r="E76" s="30"/>
      <c r="F76" s="30"/>
      <c r="G76" s="31"/>
      <c r="H76" s="31"/>
      <c r="I76" s="30"/>
      <c r="J76" s="31"/>
      <c r="K76" s="31"/>
      <c r="L76" s="31"/>
      <c r="M76" s="31"/>
      <c r="N76" s="31"/>
      <c r="O76" s="31"/>
      <c r="P76" s="31"/>
    </row>
    <row r="77" spans="1:16" ht="15.75" thickBot="1"/>
    <row r="78" spans="1:16" ht="16.5" thickBot="1">
      <c r="A78" s="72" t="s">
        <v>35</v>
      </c>
      <c r="B78" s="73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</row>
    <row r="79" spans="1:16" ht="16.5" thickBot="1">
      <c r="A79" s="55" t="s">
        <v>59</v>
      </c>
      <c r="B79" s="56">
        <f>56607+B81</f>
        <v>56607</v>
      </c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</row>
    <row r="80" spans="1:16" ht="16.5" thickBot="1">
      <c r="A80" s="66" t="s">
        <v>79</v>
      </c>
      <c r="B80" s="67">
        <v>33334</v>
      </c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</row>
    <row r="81" spans="1:16" ht="16.5" thickBot="1">
      <c r="A81" s="66" t="s">
        <v>80</v>
      </c>
      <c r="B81" s="67">
        <v>0</v>
      </c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</row>
    <row r="82" spans="1:16">
      <c r="A82" s="22" t="s">
        <v>53</v>
      </c>
      <c r="B82" s="26">
        <f>G19+G33+G44+G50+G64+G75</f>
        <v>40420.833333333328</v>
      </c>
    </row>
    <row r="83" spans="1:16">
      <c r="A83" s="23" t="s">
        <v>54</v>
      </c>
      <c r="B83" s="44">
        <f>J19+J33+J44+J50+J64+J75</f>
        <v>49549.5</v>
      </c>
    </row>
    <row r="84" spans="1:16" ht="15.75" thickBot="1">
      <c r="A84" s="45" t="s">
        <v>57</v>
      </c>
      <c r="B84" s="51">
        <f>B85-B80-B81</f>
        <v>10956.729166666664</v>
      </c>
    </row>
    <row r="85" spans="1:16">
      <c r="A85" s="46" t="s">
        <v>46</v>
      </c>
      <c r="B85" s="47">
        <f>H19+H33+H44+H50+H64+H75</f>
        <v>44290.729166666664</v>
      </c>
    </row>
    <row r="86" spans="1:16">
      <c r="A86" s="43" t="s">
        <v>52</v>
      </c>
      <c r="B86" s="48">
        <f>M19+M33+M44+M50+M64+M75</f>
        <v>65991</v>
      </c>
    </row>
    <row r="87" spans="1:16">
      <c r="A87" s="24" t="s">
        <v>51</v>
      </c>
      <c r="B87" s="27">
        <f>N19+N33+N44+N50+N64+N75</f>
        <v>21700.270833333332</v>
      </c>
    </row>
    <row r="88" spans="1:16" ht="15.75" thickBot="1">
      <c r="A88" s="49" t="s">
        <v>60</v>
      </c>
      <c r="B88" s="50">
        <f>L19+L33+L44+L50+L64+L75</f>
        <v>12461.5</v>
      </c>
    </row>
    <row r="89" spans="1:16">
      <c r="A89" s="52" t="s">
        <v>56</v>
      </c>
      <c r="B89" s="53">
        <f>P19+P33+P44+P50+P64+P75</f>
        <v>19957</v>
      </c>
    </row>
    <row r="90" spans="1:16">
      <c r="A90" s="25" t="s">
        <v>55</v>
      </c>
      <c r="B90" s="28">
        <f>O19+O33+O44+O50+O64+O75</f>
        <v>-0.5</v>
      </c>
    </row>
    <row r="91" spans="1:16">
      <c r="A91" s="68" t="s">
        <v>81</v>
      </c>
      <c r="B91" s="69">
        <v>38903</v>
      </c>
    </row>
    <row r="92" spans="1:16" ht="15.75" thickBot="1">
      <c r="A92" s="57" t="s">
        <v>58</v>
      </c>
      <c r="B92" s="58">
        <f>B91+B89-B84-B93</f>
        <v>47903.270833333336</v>
      </c>
    </row>
    <row r="93" spans="1:16">
      <c r="A93" s="59" t="s">
        <v>61</v>
      </c>
      <c r="B93" s="60">
        <v>0</v>
      </c>
    </row>
    <row r="94" spans="1:16" ht="15.75" thickBot="1">
      <c r="A94" s="33" t="s">
        <v>62</v>
      </c>
      <c r="B94" s="42">
        <f>(B83+B92)+B90</f>
        <v>97452.270833333343</v>
      </c>
    </row>
  </sheetData>
  <mergeCells count="9">
    <mergeCell ref="A45:P45"/>
    <mergeCell ref="A78:P78"/>
    <mergeCell ref="A1:P1"/>
    <mergeCell ref="A2:P2"/>
    <mergeCell ref="A3:P3"/>
    <mergeCell ref="A20:P20"/>
    <mergeCell ref="A34:P34"/>
    <mergeCell ref="A51:P51"/>
    <mergeCell ref="A65:P6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2015-08-11T17:50:00Z</dcterms:modified>
</cp:coreProperties>
</file>