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44"/>
  <c r="P50"/>
  <c r="P64"/>
  <c r="P78"/>
  <c r="K10"/>
  <c r="F77"/>
  <c r="F76"/>
  <c r="E76" s="1"/>
  <c r="J76" s="1"/>
  <c r="M76" s="1"/>
  <c r="F75"/>
  <c r="O75"/>
  <c r="O76"/>
  <c r="O77"/>
  <c r="N74"/>
  <c r="M74"/>
  <c r="L75"/>
  <c r="L76"/>
  <c r="L77"/>
  <c r="K75"/>
  <c r="K76"/>
  <c r="K77"/>
  <c r="K74"/>
  <c r="K73"/>
  <c r="F74"/>
  <c r="E74"/>
  <c r="G74" s="1"/>
  <c r="E75"/>
  <c r="J75" s="1"/>
  <c r="M75" s="1"/>
  <c r="E77"/>
  <c r="J77" s="1"/>
  <c r="M77" s="1"/>
  <c r="D77"/>
  <c r="D76"/>
  <c r="D75"/>
  <c r="K30"/>
  <c r="K68"/>
  <c r="K57"/>
  <c r="K47"/>
  <c r="K42"/>
  <c r="K41"/>
  <c r="K40"/>
  <c r="K27"/>
  <c r="K23"/>
  <c r="K22"/>
  <c r="K15"/>
  <c r="K14"/>
  <c r="K13"/>
  <c r="K12"/>
  <c r="K11"/>
  <c r="K8"/>
  <c r="K7"/>
  <c r="K6"/>
  <c r="K5"/>
  <c r="F11"/>
  <c r="F10"/>
  <c r="K70"/>
  <c r="K32"/>
  <c r="K39"/>
  <c r="K28"/>
  <c r="K31"/>
  <c r="K9"/>
  <c r="K26"/>
  <c r="K71"/>
  <c r="K60"/>
  <c r="K25"/>
  <c r="K29"/>
  <c r="K67"/>
  <c r="K58"/>
  <c r="F15"/>
  <c r="F14"/>
  <c r="F6"/>
  <c r="F5"/>
  <c r="F31"/>
  <c r="F8"/>
  <c r="F30"/>
  <c r="F25"/>
  <c r="K54"/>
  <c r="K69"/>
  <c r="K72"/>
  <c r="K38"/>
  <c r="F39"/>
  <c r="K18"/>
  <c r="F28"/>
  <c r="F58"/>
  <c r="F70"/>
  <c r="K43"/>
  <c r="K59"/>
  <c r="K16"/>
  <c r="F12"/>
  <c r="F22"/>
  <c r="B82"/>
  <c r="G76" l="1"/>
  <c r="H76"/>
  <c r="N76" s="1"/>
  <c r="H74"/>
  <c r="J74"/>
  <c r="G77"/>
  <c r="G75"/>
  <c r="H77"/>
  <c r="N77" s="1"/>
  <c r="H75"/>
  <c r="N75" s="1"/>
  <c r="K55"/>
  <c r="K56"/>
  <c r="L57"/>
  <c r="O57" s="1"/>
  <c r="K61"/>
  <c r="K62"/>
  <c r="K63"/>
  <c r="K53"/>
  <c r="K37"/>
  <c r="K24"/>
  <c r="K33"/>
  <c r="K17"/>
  <c r="F68"/>
  <c r="F69"/>
  <c r="F71"/>
  <c r="F72"/>
  <c r="F73"/>
  <c r="F54"/>
  <c r="F55"/>
  <c r="F56"/>
  <c r="F57"/>
  <c r="F59"/>
  <c r="F60"/>
  <c r="F61"/>
  <c r="F62"/>
  <c r="F63"/>
  <c r="F47"/>
  <c r="F37"/>
  <c r="F38"/>
  <c r="F40"/>
  <c r="F41"/>
  <c r="F42"/>
  <c r="F43"/>
  <c r="F44"/>
  <c r="F23"/>
  <c r="F24"/>
  <c r="F26"/>
  <c r="F27"/>
  <c r="F29"/>
  <c r="F32"/>
  <c r="F7"/>
  <c r="F9"/>
  <c r="F13"/>
  <c r="F16"/>
  <c r="F17"/>
  <c r="F18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2"/>
  <c r="J72" s="1"/>
  <c r="M72" s="1"/>
  <c r="E70"/>
  <c r="J70" s="1"/>
  <c r="M70" s="1"/>
  <c r="E11"/>
  <c r="G11" s="1"/>
  <c r="E36"/>
  <c r="H36" s="1"/>
  <c r="L78"/>
  <c r="B92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8" s="1"/>
  <c r="E23"/>
  <c r="H23" s="1"/>
  <c r="J61"/>
  <c r="M61" s="1"/>
  <c r="N61" s="1"/>
  <c r="J59"/>
  <c r="M59" s="1"/>
  <c r="N59" s="1"/>
  <c r="J56"/>
  <c r="M56" s="1"/>
  <c r="N56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91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3" l="1"/>
  <c r="N71"/>
  <c r="N40"/>
  <c r="N43"/>
  <c r="G78"/>
  <c r="G44"/>
  <c r="G19"/>
  <c r="H19"/>
  <c r="J78"/>
  <c r="M19"/>
  <c r="J19"/>
  <c r="M78"/>
  <c r="N69"/>
  <c r="J64"/>
  <c r="M64"/>
  <c r="H78"/>
  <c r="N11"/>
  <c r="M36"/>
  <c r="J44"/>
  <c r="N64"/>
  <c r="M23"/>
  <c r="N23" s="1"/>
  <c r="N33" s="1"/>
  <c r="J33"/>
  <c r="N50"/>
  <c r="N67"/>
  <c r="N5"/>
  <c r="B93"/>
  <c r="B85" l="1"/>
  <c r="N19"/>
  <c r="N78"/>
  <c r="B88"/>
  <c r="M33"/>
  <c r="M44"/>
  <c r="N44" s="1"/>
  <c r="N36"/>
  <c r="B86"/>
  <c r="B87" l="1"/>
  <c r="B95" s="1"/>
  <c r="B97" s="1"/>
  <c r="B90"/>
  <c r="B89"/>
</calcChain>
</file>

<file path=xl/sharedStrings.xml><?xml version="1.0" encoding="utf-8"?>
<sst xmlns="http://schemas.openxmlformats.org/spreadsheetml/2006/main" count="185" uniqueCount="102">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</sst>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0" fillId="0" borderId="3" xfId="0" applyFont="1" applyBorder="1"/>
    <xf numFmtId="1" fontId="0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7"/>
  <sheetViews>
    <sheetView tabSelected="1" workbookViewId="0">
      <pane ySplit="2" topLeftCell="A66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13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113</v>
      </c>
      <c r="F5" s="4">
        <f>0+0+3</f>
        <v>3</v>
      </c>
      <c r="G5" s="11">
        <f>E5*D5</f>
        <v>2212.9166666666665</v>
      </c>
      <c r="H5" s="11">
        <f>(E5+K5)*D5</f>
        <v>3172.5</v>
      </c>
      <c r="I5" s="11">
        <v>25</v>
      </c>
      <c r="J5" s="11">
        <f>(I5*E5)</f>
        <v>2825</v>
      </c>
      <c r="K5" s="11">
        <f>0+0+4+1+5+1+2+4+4+3+1+7+5+3+8-5+6</f>
        <v>49</v>
      </c>
      <c r="L5" s="11">
        <f>K5*I5</f>
        <v>1225</v>
      </c>
      <c r="M5" s="11">
        <f>J5+L5</f>
        <v>4050</v>
      </c>
      <c r="N5" s="11">
        <f>M5-H5</f>
        <v>877.5</v>
      </c>
      <c r="O5" s="11">
        <f>L5</f>
        <v>1225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75</v>
      </c>
      <c r="F6" s="4">
        <f>0+0+3</f>
        <v>3</v>
      </c>
      <c r="G6" s="11">
        <f t="shared" ref="G6:G18" si="1">E6*D6</f>
        <v>2500</v>
      </c>
      <c r="H6" s="11">
        <f t="shared" ref="H6:H18" si="2">(E6+K6)*D6</f>
        <v>4933.3333333333339</v>
      </c>
      <c r="I6" s="11">
        <v>40</v>
      </c>
      <c r="J6" s="11">
        <f t="shared" ref="J6:J18" si="3">(I6*E6)</f>
        <v>3000</v>
      </c>
      <c r="K6" s="11">
        <f>0+0+1+4+2+1+3+3+4+1+48+2+3+1</f>
        <v>73</v>
      </c>
      <c r="L6" s="11">
        <f t="shared" ref="L6:L19" si="4">K6*I6</f>
        <v>2920</v>
      </c>
      <c r="M6" s="11">
        <f t="shared" ref="M6:M18" si="5">J6+L6</f>
        <v>5920</v>
      </c>
      <c r="N6" s="11">
        <f t="shared" ref="N6:N18" si="6">M6-H6</f>
        <v>986.66666666666606</v>
      </c>
      <c r="O6" s="11">
        <f t="shared" ref="O6:O18" si="7">L6</f>
        <v>2920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-1</v>
      </c>
      <c r="F7" s="4">
        <f t="shared" ref="F7:F18" si="8">0+0</f>
        <v>0</v>
      </c>
      <c r="G7" s="11">
        <f t="shared" si="1"/>
        <v>-60.833333333333336</v>
      </c>
      <c r="H7" s="11">
        <f t="shared" si="2"/>
        <v>2129.166666666667</v>
      </c>
      <c r="I7" s="11">
        <v>70</v>
      </c>
      <c r="J7" s="11">
        <f t="shared" si="3"/>
        <v>-70</v>
      </c>
      <c r="K7" s="11">
        <f>0+0+2+2+2+2+1+3+1+1+2+2+3+5+2+3+2+3</f>
        <v>36</v>
      </c>
      <c r="L7" s="11">
        <f t="shared" si="4"/>
        <v>2520</v>
      </c>
      <c r="M7" s="11">
        <f t="shared" si="5"/>
        <v>2450</v>
      </c>
      <c r="N7" s="11">
        <f t="shared" si="6"/>
        <v>320.83333333333303</v>
      </c>
      <c r="O7" s="11">
        <f t="shared" si="7"/>
        <v>2520</v>
      </c>
      <c r="P7" s="11"/>
    </row>
    <row r="8" spans="1:16">
      <c r="A8" s="7" t="s">
        <v>62</v>
      </c>
      <c r="B8" s="10">
        <v>24</v>
      </c>
      <c r="C8" s="9">
        <v>15</v>
      </c>
      <c r="D8" s="8">
        <f>700/24</f>
        <v>29.166666666666668</v>
      </c>
      <c r="E8" s="4">
        <f t="shared" si="0"/>
        <v>14</v>
      </c>
      <c r="F8" s="4">
        <f>0+0+1</f>
        <v>1</v>
      </c>
      <c r="G8" s="11">
        <f t="shared" si="1"/>
        <v>408.33333333333337</v>
      </c>
      <c r="H8" s="11">
        <f t="shared" si="2"/>
        <v>1137.5</v>
      </c>
      <c r="I8" s="11">
        <v>40</v>
      </c>
      <c r="J8" s="11">
        <f t="shared" si="3"/>
        <v>560</v>
      </c>
      <c r="K8" s="11">
        <f>0+0+1+1+1+1+4+3+1+2+3+1+1+2+4</f>
        <v>25</v>
      </c>
      <c r="L8" s="11">
        <f t="shared" si="4"/>
        <v>1000</v>
      </c>
      <c r="M8" s="11">
        <f t="shared" si="5"/>
        <v>1560</v>
      </c>
      <c r="N8" s="11">
        <f t="shared" si="6"/>
        <v>422.5</v>
      </c>
      <c r="O8" s="11">
        <f t="shared" si="7"/>
        <v>1000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20</v>
      </c>
      <c r="F9" s="4">
        <f t="shared" si="8"/>
        <v>0</v>
      </c>
      <c r="G9" s="11">
        <f t="shared" si="1"/>
        <v>1066.6666666666667</v>
      </c>
      <c r="H9" s="11">
        <f t="shared" si="2"/>
        <v>2293.3333333333335</v>
      </c>
      <c r="I9" s="11">
        <v>65</v>
      </c>
      <c r="J9" s="11">
        <f t="shared" si="3"/>
        <v>1300</v>
      </c>
      <c r="K9" s="11">
        <f>0+0+4+1+1+3+1+1+1+1+4+2+2+2</f>
        <v>23</v>
      </c>
      <c r="L9" s="11">
        <f t="shared" si="4"/>
        <v>1495</v>
      </c>
      <c r="M9" s="11">
        <f t="shared" si="5"/>
        <v>2795</v>
      </c>
      <c r="N9" s="11">
        <f t="shared" si="6"/>
        <v>501.66666666666652</v>
      </c>
      <c r="O9" s="11">
        <f t="shared" si="7"/>
        <v>1495</v>
      </c>
      <c r="P9" s="11"/>
    </row>
    <row r="10" spans="1:16">
      <c r="A10" s="7" t="s">
        <v>63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33</v>
      </c>
      <c r="F10" s="4">
        <f>0+0+1+2</f>
        <v>3</v>
      </c>
      <c r="G10" s="11">
        <f t="shared" si="1"/>
        <v>2695</v>
      </c>
      <c r="H10" s="11">
        <f t="shared" si="2"/>
        <v>4491.666666666667</v>
      </c>
      <c r="I10" s="11">
        <v>100</v>
      </c>
      <c r="J10" s="11">
        <f t="shared" si="3"/>
        <v>3300</v>
      </c>
      <c r="K10" s="11">
        <f>0+0+1+4+1+1+2+1+1+1+2+2+2+2+2</f>
        <v>22</v>
      </c>
      <c r="L10" s="11">
        <f t="shared" si="4"/>
        <v>2200</v>
      </c>
      <c r="M10" s="11">
        <f t="shared" si="5"/>
        <v>5500</v>
      </c>
      <c r="N10" s="11">
        <f t="shared" si="6"/>
        <v>1008.333333333333</v>
      </c>
      <c r="O10" s="11">
        <f t="shared" si="7"/>
        <v>2200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28</v>
      </c>
      <c r="F11" s="4">
        <f>0+0+2+3</f>
        <v>5</v>
      </c>
      <c r="G11" s="11">
        <f t="shared" si="1"/>
        <v>3733.3333333333335</v>
      </c>
      <c r="H11" s="11">
        <f t="shared" si="2"/>
        <v>6666.666666666667</v>
      </c>
      <c r="I11" s="11">
        <v>150</v>
      </c>
      <c r="J11" s="11">
        <f t="shared" si="3"/>
        <v>4200</v>
      </c>
      <c r="K11" s="11">
        <f>0+0+4+2+2+1+2+2+1+1+3+1+1+1+1</f>
        <v>22</v>
      </c>
      <c r="L11" s="11">
        <f t="shared" si="4"/>
        <v>3300</v>
      </c>
      <c r="M11" s="11">
        <f t="shared" si="5"/>
        <v>7500</v>
      </c>
      <c r="N11" s="11">
        <f t="shared" si="6"/>
        <v>833.33333333333303</v>
      </c>
      <c r="O11" s="11">
        <f t="shared" si="7"/>
        <v>3300</v>
      </c>
      <c r="P11" s="11"/>
    </row>
    <row r="12" spans="1:16">
      <c r="A12" s="61" t="s">
        <v>65</v>
      </c>
      <c r="B12" s="62">
        <v>12</v>
      </c>
      <c r="C12" s="9">
        <v>8</v>
      </c>
      <c r="D12" s="63">
        <f>600/12</f>
        <v>50</v>
      </c>
      <c r="E12" s="4">
        <f t="shared" si="0"/>
        <v>6</v>
      </c>
      <c r="F12" s="4">
        <f>0+0+1</f>
        <v>1</v>
      </c>
      <c r="G12" s="11">
        <f t="shared" si="1"/>
        <v>300</v>
      </c>
      <c r="H12" s="11">
        <f t="shared" si="2"/>
        <v>1000</v>
      </c>
      <c r="I12" s="64">
        <v>60</v>
      </c>
      <c r="J12" s="64">
        <f t="shared" si="3"/>
        <v>360</v>
      </c>
      <c r="K12" s="11">
        <f>0+0+2+2+1+1+1+1+1+3+2</f>
        <v>14</v>
      </c>
      <c r="L12" s="11">
        <f t="shared" si="4"/>
        <v>840</v>
      </c>
      <c r="M12" s="11">
        <f t="shared" si="5"/>
        <v>1200</v>
      </c>
      <c r="N12" s="11">
        <f t="shared" si="6"/>
        <v>200</v>
      </c>
      <c r="O12" s="11">
        <f t="shared" si="7"/>
        <v>840</v>
      </c>
      <c r="P12" s="64"/>
    </row>
    <row r="13" spans="1:16">
      <c r="A13" s="61" t="s">
        <v>64</v>
      </c>
      <c r="B13" s="62">
        <v>12</v>
      </c>
      <c r="C13" s="9">
        <v>33</v>
      </c>
      <c r="D13" s="63">
        <f>570/12</f>
        <v>47.5</v>
      </c>
      <c r="E13" s="4">
        <f t="shared" si="0"/>
        <v>16</v>
      </c>
      <c r="F13" s="4">
        <f t="shared" si="8"/>
        <v>0</v>
      </c>
      <c r="G13" s="11">
        <f t="shared" si="1"/>
        <v>760</v>
      </c>
      <c r="H13" s="11">
        <f t="shared" si="2"/>
        <v>1567.5</v>
      </c>
      <c r="I13" s="64">
        <v>60</v>
      </c>
      <c r="J13" s="64">
        <f t="shared" si="3"/>
        <v>960</v>
      </c>
      <c r="K13" s="11">
        <f>0+0+1+2+2+1+3+1+1+1+1+1+1+1+1</f>
        <v>17</v>
      </c>
      <c r="L13" s="11">
        <f t="shared" si="4"/>
        <v>1020</v>
      </c>
      <c r="M13" s="11">
        <f t="shared" si="5"/>
        <v>1980</v>
      </c>
      <c r="N13" s="11">
        <f t="shared" si="6"/>
        <v>412.5</v>
      </c>
      <c r="O13" s="11">
        <f t="shared" si="7"/>
        <v>1020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13</v>
      </c>
      <c r="F14" s="4">
        <f>0+0+1</f>
        <v>1</v>
      </c>
      <c r="G14" s="11">
        <f t="shared" si="1"/>
        <v>617.5</v>
      </c>
      <c r="H14" s="11">
        <f t="shared" si="2"/>
        <v>760</v>
      </c>
      <c r="I14" s="64">
        <v>60</v>
      </c>
      <c r="J14" s="64">
        <f t="shared" si="3"/>
        <v>780</v>
      </c>
      <c r="K14" s="11">
        <f>0+0+1+1+1</f>
        <v>3</v>
      </c>
      <c r="L14" s="11">
        <f t="shared" si="4"/>
        <v>180</v>
      </c>
      <c r="M14" s="11">
        <f t="shared" si="5"/>
        <v>960</v>
      </c>
      <c r="N14" s="11">
        <f t="shared" si="6"/>
        <v>200</v>
      </c>
      <c r="O14" s="11">
        <f t="shared" si="7"/>
        <v>180</v>
      </c>
      <c r="P14" s="64"/>
    </row>
    <row r="15" spans="1:16">
      <c r="A15" s="61" t="s">
        <v>77</v>
      </c>
      <c r="B15" s="62">
        <v>24</v>
      </c>
      <c r="C15" s="9">
        <v>13</v>
      </c>
      <c r="D15" s="63">
        <f>480/24</f>
        <v>20</v>
      </c>
      <c r="E15" s="4">
        <f t="shared" si="0"/>
        <v>27</v>
      </c>
      <c r="F15" s="4">
        <f>0+0+1</f>
        <v>1</v>
      </c>
      <c r="G15" s="11">
        <f t="shared" si="1"/>
        <v>540</v>
      </c>
      <c r="H15" s="11">
        <f>(E15+K15)*D15</f>
        <v>740</v>
      </c>
      <c r="I15" s="64">
        <v>30</v>
      </c>
      <c r="J15" s="64">
        <f t="shared" si="3"/>
        <v>810</v>
      </c>
      <c r="K15" s="11">
        <f>0+0+2+1+1+1+1+2+1+1</f>
        <v>10</v>
      </c>
      <c r="L15" s="11">
        <f t="shared" si="4"/>
        <v>300</v>
      </c>
      <c r="M15" s="11">
        <f t="shared" si="5"/>
        <v>1110</v>
      </c>
      <c r="N15" s="11">
        <f>M15-H15</f>
        <v>370</v>
      </c>
      <c r="O15" s="11">
        <f t="shared" si="7"/>
        <v>300</v>
      </c>
      <c r="P15" s="64"/>
    </row>
    <row r="16" spans="1:16">
      <c r="A16" s="61" t="s">
        <v>92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8"/>
        <v>0</v>
      </c>
      <c r="G16" s="11">
        <f t="shared" si="1"/>
        <v>0</v>
      </c>
      <c r="H16" s="11">
        <f>(E16+K16)*D16</f>
        <v>39.583333333333336</v>
      </c>
      <c r="I16" s="64">
        <v>10</v>
      </c>
      <c r="J16" s="64">
        <f t="shared" si="3"/>
        <v>0</v>
      </c>
      <c r="K16" s="11">
        <f>0+0+4+1</f>
        <v>5</v>
      </c>
      <c r="L16" s="11">
        <f t="shared" si="4"/>
        <v>50</v>
      </c>
      <c r="M16" s="11">
        <f t="shared" si="5"/>
        <v>50</v>
      </c>
      <c r="N16" s="11">
        <f>M16-H16</f>
        <v>10.416666666666664</v>
      </c>
      <c r="O16" s="11">
        <f t="shared" si="7"/>
        <v>50</v>
      </c>
      <c r="P16" s="64"/>
    </row>
    <row r="17" spans="1:16">
      <c r="A17" s="61" t="s">
        <v>91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 t="shared" si="2"/>
        <v>0</v>
      </c>
      <c r="I17" s="64">
        <v>5</v>
      </c>
      <c r="J17" s="64">
        <f t="shared" si="3"/>
        <v>0</v>
      </c>
      <c r="K17" s="11">
        <f t="shared" ref="K17" si="9">0+0</f>
        <v>0</v>
      </c>
      <c r="L17" s="11">
        <f t="shared" si="4"/>
        <v>0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64"/>
    </row>
    <row r="18" spans="1:16">
      <c r="A18" s="61" t="s">
        <v>87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8"/>
        <v>0</v>
      </c>
      <c r="G18" s="11">
        <f t="shared" si="1"/>
        <v>-13.75</v>
      </c>
      <c r="H18" s="11">
        <f t="shared" si="2"/>
        <v>0</v>
      </c>
      <c r="I18" s="64">
        <v>20</v>
      </c>
      <c r="J18" s="64">
        <f t="shared" si="3"/>
        <v>-20</v>
      </c>
      <c r="K18" s="11">
        <f>0+0+1</f>
        <v>1</v>
      </c>
      <c r="L18" s="11">
        <f t="shared" si="4"/>
        <v>20</v>
      </c>
      <c r="M18" s="11">
        <f t="shared" si="5"/>
        <v>0</v>
      </c>
      <c r="N18" s="11">
        <f t="shared" si="6"/>
        <v>0</v>
      </c>
      <c r="O18" s="11">
        <f t="shared" si="7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14772.916666666666</v>
      </c>
      <c r="H19" s="17">
        <f>SUM(H5:H15)</f>
        <v>28891.666666666668</v>
      </c>
      <c r="I19" s="17"/>
      <c r="J19" s="17">
        <f>SUM(J5:J15)</f>
        <v>18025</v>
      </c>
      <c r="K19" s="11"/>
      <c r="L19" s="11">
        <f t="shared" si="4"/>
        <v>0</v>
      </c>
      <c r="M19" s="18">
        <f>SUM(M5:M15)</f>
        <v>35025</v>
      </c>
      <c r="N19" s="18">
        <f>SUM(N5:N15)</f>
        <v>6133.3333333333312</v>
      </c>
      <c r="O19" s="18">
        <f>SUM(O5:O15)-P19</f>
        <v>0</v>
      </c>
      <c r="P19" s="17">
        <f>0+0+1300+1040+520+795+465+575+830+445+660+460+405+630+985+675+1125+2595+670+655+495+720-125+1080</f>
        <v>17000</v>
      </c>
    </row>
    <row r="20" spans="1:16" ht="16.5" thickTop="1">
      <c r="A20" s="70" t="s">
        <v>98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</row>
    <row r="21" spans="1:16">
      <c r="A21" s="3" t="s">
        <v>2</v>
      </c>
      <c r="B21" s="35" t="s">
        <v>17</v>
      </c>
      <c r="C21" s="35" t="s">
        <v>21</v>
      </c>
      <c r="D21" s="36" t="s">
        <v>67</v>
      </c>
      <c r="E21" s="36" t="s">
        <v>6</v>
      </c>
      <c r="F21" s="36" t="s">
        <v>3</v>
      </c>
      <c r="G21" s="36" t="s">
        <v>43</v>
      </c>
      <c r="H21" s="36" t="s">
        <v>44</v>
      </c>
      <c r="I21" s="36" t="s">
        <v>48</v>
      </c>
      <c r="J21" s="36" t="s">
        <v>14</v>
      </c>
      <c r="K21" s="36" t="s">
        <v>35</v>
      </c>
      <c r="L21" s="36" t="s">
        <v>36</v>
      </c>
      <c r="M21" s="36" t="s">
        <v>46</v>
      </c>
      <c r="N21" s="36" t="s">
        <v>47</v>
      </c>
      <c r="O21" s="36" t="s">
        <v>15</v>
      </c>
      <c r="P21" s="36" t="s">
        <v>4</v>
      </c>
    </row>
    <row r="22" spans="1:16">
      <c r="A22" s="12" t="s">
        <v>75</v>
      </c>
      <c r="B22" s="12">
        <v>24</v>
      </c>
      <c r="C22" s="12">
        <v>3</v>
      </c>
      <c r="D22" s="8">
        <f>972/24</f>
        <v>40.5</v>
      </c>
      <c r="E22" s="4">
        <f>(C22+(F22*B22))-K22</f>
        <v>19</v>
      </c>
      <c r="F22" s="4">
        <f>0+0+1</f>
        <v>1</v>
      </c>
      <c r="G22" s="11">
        <f>E22*D22</f>
        <v>769.5</v>
      </c>
      <c r="H22" s="11">
        <f>(E22+K22)*D22</f>
        <v>1093.5</v>
      </c>
      <c r="I22" s="4">
        <v>50</v>
      </c>
      <c r="J22" s="11">
        <f>(I22*E22)</f>
        <v>950</v>
      </c>
      <c r="K22" s="11">
        <f>0+0+2+1+2+1+2</f>
        <v>8</v>
      </c>
      <c r="L22" s="11">
        <f>K22*I22</f>
        <v>400</v>
      </c>
      <c r="M22" s="11">
        <f>J22+L22</f>
        <v>1350</v>
      </c>
      <c r="N22" s="11">
        <f>M22-H22</f>
        <v>256.5</v>
      </c>
      <c r="O22" s="11">
        <f>L22</f>
        <v>400</v>
      </c>
      <c r="P22" s="4"/>
    </row>
    <row r="23" spans="1:16">
      <c r="A23" s="12" t="s">
        <v>81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7</v>
      </c>
      <c r="F23" s="4">
        <f t="shared" ref="F23:F32" si="11">0+0</f>
        <v>0</v>
      </c>
      <c r="G23" s="11">
        <f t="shared" ref="G23:G32" si="12">E23*D23</f>
        <v>274.16666666666663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350</v>
      </c>
      <c r="K23" s="11">
        <f>0+0+2+1+1+2+4</f>
        <v>10</v>
      </c>
      <c r="L23" s="11">
        <f t="shared" ref="L23:L31" si="15">K23*I23</f>
        <v>500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500</v>
      </c>
      <c r="P23" s="4"/>
    </row>
    <row r="24" spans="1:16">
      <c r="A24" s="12" t="s">
        <v>84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89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11</v>
      </c>
      <c r="F25" s="4">
        <f>0+0+1</f>
        <v>1</v>
      </c>
      <c r="G25" s="11">
        <f t="shared" si="12"/>
        <v>1136.6666666666665</v>
      </c>
      <c r="H25" s="11">
        <f t="shared" si="13"/>
        <v>2583.333333333333</v>
      </c>
      <c r="I25" s="4">
        <v>110</v>
      </c>
      <c r="J25" s="11">
        <f t="shared" si="14"/>
        <v>1210</v>
      </c>
      <c r="K25" s="11">
        <f>0+0+1+1+1+2+2+1+3+2+1</f>
        <v>14</v>
      </c>
      <c r="L25" s="11">
        <f t="shared" si="15"/>
        <v>1540</v>
      </c>
      <c r="M25" s="11">
        <f t="shared" si="16"/>
        <v>2750</v>
      </c>
      <c r="N25" s="11">
        <f t="shared" si="17"/>
        <v>166.66666666666697</v>
      </c>
      <c r="O25" s="11">
        <f t="shared" si="18"/>
        <v>1540</v>
      </c>
      <c r="P25" s="4"/>
    </row>
    <row r="26" spans="1:16">
      <c r="A26" s="12" t="s">
        <v>16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2</v>
      </c>
      <c r="F26" s="4">
        <f t="shared" si="11"/>
        <v>0</v>
      </c>
      <c r="G26" s="11">
        <f t="shared" si="12"/>
        <v>196.66666666666666</v>
      </c>
      <c r="H26" s="11">
        <f t="shared" si="13"/>
        <v>1081.6666666666665</v>
      </c>
      <c r="I26" s="4">
        <v>110</v>
      </c>
      <c r="J26" s="11">
        <f t="shared" si="14"/>
        <v>220</v>
      </c>
      <c r="K26" s="11">
        <f>0+0+1+3+2+1+1+1</f>
        <v>9</v>
      </c>
      <c r="L26" s="11">
        <f t="shared" si="15"/>
        <v>990</v>
      </c>
      <c r="M26" s="11">
        <f t="shared" si="16"/>
        <v>1210</v>
      </c>
      <c r="N26" s="11">
        <f t="shared" si="17"/>
        <v>128.33333333333348</v>
      </c>
      <c r="O26" s="11">
        <f t="shared" si="18"/>
        <v>990</v>
      </c>
      <c r="P26" s="4"/>
    </row>
    <row r="27" spans="1:16">
      <c r="A27" s="12" t="s">
        <v>18</v>
      </c>
      <c r="B27" s="13">
        <v>24</v>
      </c>
      <c r="C27" s="12">
        <v>13</v>
      </c>
      <c r="D27" s="4">
        <f>1200/24</f>
        <v>50</v>
      </c>
      <c r="E27" s="4">
        <f t="shared" si="10"/>
        <v>6</v>
      </c>
      <c r="F27" s="4">
        <f t="shared" si="11"/>
        <v>0</v>
      </c>
      <c r="G27" s="11">
        <f t="shared" si="12"/>
        <v>300</v>
      </c>
      <c r="H27" s="11">
        <f t="shared" si="13"/>
        <v>650</v>
      </c>
      <c r="I27" s="4">
        <v>60</v>
      </c>
      <c r="J27" s="11">
        <f t="shared" si="14"/>
        <v>360</v>
      </c>
      <c r="K27" s="11">
        <f>0+0+1+1+1+1+1+1+1</f>
        <v>7</v>
      </c>
      <c r="L27" s="11">
        <f t="shared" si="15"/>
        <v>420</v>
      </c>
      <c r="M27" s="11">
        <f t="shared" si="16"/>
        <v>780</v>
      </c>
      <c r="N27" s="11">
        <f t="shared" si="17"/>
        <v>130</v>
      </c>
      <c r="O27" s="11">
        <f t="shared" si="18"/>
        <v>420</v>
      </c>
      <c r="P27" s="4"/>
    </row>
    <row r="28" spans="1:16">
      <c r="A28" s="12" t="s">
        <v>19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6</v>
      </c>
      <c r="F28" s="4">
        <f>0+0+1</f>
        <v>1</v>
      </c>
      <c r="G28" s="11">
        <f>E28*D28</f>
        <v>590</v>
      </c>
      <c r="H28" s="11">
        <f t="shared" si="13"/>
        <v>1671.6666666666665</v>
      </c>
      <c r="I28" s="4">
        <v>110</v>
      </c>
      <c r="J28" s="11">
        <f t="shared" si="14"/>
        <v>660</v>
      </c>
      <c r="K28" s="11">
        <f>0+0+1+1+3+2+1+1+1+1</f>
        <v>11</v>
      </c>
      <c r="L28" s="11">
        <f t="shared" si="15"/>
        <v>1210</v>
      </c>
      <c r="M28" s="11">
        <f t="shared" si="16"/>
        <v>1870</v>
      </c>
      <c r="N28" s="11">
        <f t="shared" si="17"/>
        <v>198.33333333333348</v>
      </c>
      <c r="O28" s="11">
        <f t="shared" si="18"/>
        <v>1210</v>
      </c>
      <c r="P28" s="4"/>
    </row>
    <row r="29" spans="1:16">
      <c r="A29" s="12" t="s">
        <v>20</v>
      </c>
      <c r="B29" s="13">
        <v>24</v>
      </c>
      <c r="C29" s="12">
        <v>0</v>
      </c>
      <c r="D29" s="4">
        <f>1200/24</f>
        <v>50</v>
      </c>
      <c r="E29" s="4">
        <f t="shared" si="10"/>
        <v>-1</v>
      </c>
      <c r="F29" s="4">
        <f t="shared" si="11"/>
        <v>0</v>
      </c>
      <c r="G29" s="11">
        <f t="shared" si="12"/>
        <v>-50</v>
      </c>
      <c r="H29" s="11">
        <f t="shared" si="13"/>
        <v>0</v>
      </c>
      <c r="I29" s="4">
        <v>60</v>
      </c>
      <c r="J29" s="11">
        <f t="shared" si="14"/>
        <v>-60</v>
      </c>
      <c r="K29" s="11">
        <f>0+0+1</f>
        <v>1</v>
      </c>
      <c r="L29" s="11">
        <f t="shared" si="15"/>
        <v>60</v>
      </c>
      <c r="M29" s="11">
        <f t="shared" si="16"/>
        <v>0</v>
      </c>
      <c r="N29" s="11">
        <f t="shared" si="17"/>
        <v>0</v>
      </c>
      <c r="O29" s="11">
        <f t="shared" si="18"/>
        <v>60</v>
      </c>
      <c r="P29" s="4"/>
    </row>
    <row r="30" spans="1:16">
      <c r="A30" s="12" t="s">
        <v>22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10</v>
      </c>
      <c r="F30" s="4">
        <f>0+0+1</f>
        <v>1</v>
      </c>
      <c r="G30" s="11">
        <f t="shared" si="12"/>
        <v>1033.3333333333333</v>
      </c>
      <c r="H30" s="11">
        <f t="shared" si="13"/>
        <v>1240</v>
      </c>
      <c r="I30" s="4">
        <v>125</v>
      </c>
      <c r="J30" s="11">
        <f t="shared" si="14"/>
        <v>1250</v>
      </c>
      <c r="K30" s="11">
        <f>0+0+1+1</f>
        <v>2</v>
      </c>
      <c r="L30" s="11">
        <f t="shared" si="15"/>
        <v>250</v>
      </c>
      <c r="M30" s="11">
        <f t="shared" si="16"/>
        <v>1500</v>
      </c>
      <c r="N30" s="11">
        <f t="shared" si="17"/>
        <v>260</v>
      </c>
      <c r="O30" s="11">
        <f t="shared" si="18"/>
        <v>250</v>
      </c>
      <c r="P30" s="4"/>
    </row>
    <row r="31" spans="1:16">
      <c r="A31" s="12" t="s">
        <v>86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11</v>
      </c>
      <c r="F31" s="4">
        <f>0+0+1</f>
        <v>1</v>
      </c>
      <c r="G31" s="11">
        <f t="shared" si="12"/>
        <v>1008.3333333333334</v>
      </c>
      <c r="H31" s="11">
        <f t="shared" si="13"/>
        <v>1650</v>
      </c>
      <c r="I31" s="4">
        <v>115</v>
      </c>
      <c r="J31" s="11">
        <f t="shared" si="14"/>
        <v>1265</v>
      </c>
      <c r="K31" s="11">
        <f>0+0+1+1+1+2+1+1</f>
        <v>7</v>
      </c>
      <c r="L31" s="11">
        <f t="shared" si="15"/>
        <v>805</v>
      </c>
      <c r="M31" s="11">
        <f t="shared" si="16"/>
        <v>2070</v>
      </c>
      <c r="N31" s="11">
        <f t="shared" si="17"/>
        <v>420</v>
      </c>
      <c r="O31" s="11">
        <f t="shared" si="18"/>
        <v>805</v>
      </c>
      <c r="P31" s="4"/>
    </row>
    <row r="32" spans="1:16" ht="17.25" customHeight="1">
      <c r="A32" s="12" t="s">
        <v>23</v>
      </c>
      <c r="B32" s="13">
        <v>12</v>
      </c>
      <c r="C32" s="12">
        <v>6</v>
      </c>
      <c r="D32" s="4">
        <f>1650/12</f>
        <v>137.5</v>
      </c>
      <c r="E32" s="4">
        <f t="shared" si="10"/>
        <v>2</v>
      </c>
      <c r="F32" s="4">
        <f t="shared" si="11"/>
        <v>0</v>
      </c>
      <c r="G32" s="11">
        <f t="shared" si="12"/>
        <v>275</v>
      </c>
      <c r="H32" s="11">
        <f t="shared" si="13"/>
        <v>825</v>
      </c>
      <c r="I32" s="4">
        <v>148</v>
      </c>
      <c r="J32" s="11">
        <f t="shared" si="14"/>
        <v>296</v>
      </c>
      <c r="K32" s="11">
        <f>0+0+1+2+1</f>
        <v>4</v>
      </c>
      <c r="L32" s="11">
        <f>K32*I32</f>
        <v>592</v>
      </c>
      <c r="M32" s="11">
        <f t="shared" si="16"/>
        <v>888</v>
      </c>
      <c r="N32" s="11">
        <f t="shared" si="17"/>
        <v>63</v>
      </c>
      <c r="O32" s="11">
        <f t="shared" si="18"/>
        <v>592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5893.6666666666661</v>
      </c>
      <c r="H33" s="17">
        <f>SUM(H22:H32)</f>
        <v>11820.999999999998</v>
      </c>
      <c r="I33" s="16"/>
      <c r="J33" s="17">
        <f>SUM(J22:J32)</f>
        <v>6901</v>
      </c>
      <c r="K33" s="11">
        <f t="shared" si="19"/>
        <v>0</v>
      </c>
      <c r="L33" s="18">
        <f>SUM(L22:L32)</f>
        <v>6767</v>
      </c>
      <c r="M33" s="21">
        <f>SUM(M22:M32)</f>
        <v>13668</v>
      </c>
      <c r="N33" s="21">
        <f>SUM(N22:N32)</f>
        <v>1847.0000000000007</v>
      </c>
      <c r="O33" s="18">
        <f>SUM(O22:O32)-P33</f>
        <v>0</v>
      </c>
      <c r="P33" s="17">
        <f>0+0+60+425+220+478+335+160+220+170+650+335+1016+550+160+505+335+60+170+433+485</f>
        <v>6767</v>
      </c>
    </row>
    <row r="34" spans="1:16" ht="16.5" thickTop="1">
      <c r="A34" s="70" t="s">
        <v>83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</row>
    <row r="35" spans="1:16">
      <c r="A35" s="3" t="s">
        <v>2</v>
      </c>
      <c r="B35" s="35" t="s">
        <v>17</v>
      </c>
      <c r="C35" s="35" t="s">
        <v>21</v>
      </c>
      <c r="D35" s="36" t="s">
        <v>67</v>
      </c>
      <c r="E35" s="36" t="s">
        <v>6</v>
      </c>
      <c r="F35" s="36" t="s">
        <v>3</v>
      </c>
      <c r="G35" s="36" t="s">
        <v>43</v>
      </c>
      <c r="H35" s="36" t="s">
        <v>44</v>
      </c>
      <c r="I35" s="36" t="s">
        <v>48</v>
      </c>
      <c r="J35" s="36" t="s">
        <v>14</v>
      </c>
      <c r="K35" s="36" t="s">
        <v>35</v>
      </c>
      <c r="L35" s="36" t="s">
        <v>36</v>
      </c>
      <c r="M35" s="36" t="s">
        <v>46</v>
      </c>
      <c r="N35" s="36" t="s">
        <v>47</v>
      </c>
      <c r="O35" s="36" t="s">
        <v>15</v>
      </c>
      <c r="P35" s="36" t="s">
        <v>4</v>
      </c>
    </row>
    <row r="36" spans="1:16">
      <c r="A36" s="12" t="s">
        <v>82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24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25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26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3</v>
      </c>
      <c r="F39" s="4">
        <f>0+0+2</f>
        <v>2</v>
      </c>
      <c r="G39" s="11">
        <f t="shared" si="26"/>
        <v>353.75</v>
      </c>
      <c r="H39" s="11">
        <f t="shared" si="27"/>
        <v>5306.25</v>
      </c>
      <c r="I39" s="4">
        <v>135</v>
      </c>
      <c r="J39" s="11">
        <f t="shared" si="21"/>
        <v>405</v>
      </c>
      <c r="K39" s="11">
        <f>0+0+2+3+4+4+4+4+4+4+4+2+4+3</f>
        <v>42</v>
      </c>
      <c r="L39" s="11">
        <f>K39*I39</f>
        <v>5670</v>
      </c>
      <c r="M39" s="11">
        <f t="shared" si="22"/>
        <v>6075</v>
      </c>
      <c r="N39" s="11">
        <f t="shared" si="23"/>
        <v>768.75</v>
      </c>
      <c r="O39" s="11">
        <f t="shared" si="24"/>
        <v>5670</v>
      </c>
      <c r="P39" s="4"/>
    </row>
    <row r="40" spans="1:16">
      <c r="A40" s="12" t="s">
        <v>27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2</v>
      </c>
      <c r="F40" s="4">
        <f t="shared" si="25"/>
        <v>0</v>
      </c>
      <c r="G40" s="11">
        <f t="shared" si="26"/>
        <v>127.91666666666667</v>
      </c>
      <c r="H40" s="11">
        <f t="shared" si="27"/>
        <v>767.5</v>
      </c>
      <c r="I40" s="4">
        <v>75</v>
      </c>
      <c r="J40" s="11">
        <f t="shared" si="21"/>
        <v>150</v>
      </c>
      <c r="K40" s="11">
        <f>0+0+2+1+1+1+2+1+1+1</f>
        <v>10</v>
      </c>
      <c r="L40" s="11">
        <f t="shared" si="29"/>
        <v>750</v>
      </c>
      <c r="M40" s="11">
        <f t="shared" si="22"/>
        <v>900</v>
      </c>
      <c r="N40" s="11">
        <f t="shared" si="23"/>
        <v>132.5</v>
      </c>
      <c r="O40" s="11">
        <f t="shared" si="24"/>
        <v>750</v>
      </c>
      <c r="P40" s="4"/>
    </row>
    <row r="41" spans="1:16">
      <c r="A41" s="12" t="s">
        <v>28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7</v>
      </c>
      <c r="F41" s="4">
        <f t="shared" si="25"/>
        <v>0</v>
      </c>
      <c r="G41" s="11">
        <f t="shared" si="26"/>
        <v>807.91666666666674</v>
      </c>
      <c r="H41" s="11">
        <f t="shared" si="27"/>
        <v>1269.5833333333335</v>
      </c>
      <c r="I41" s="4">
        <v>135</v>
      </c>
      <c r="J41" s="11">
        <f t="shared" si="21"/>
        <v>945</v>
      </c>
      <c r="K41" s="11">
        <f>0+0+2+2</f>
        <v>4</v>
      </c>
      <c r="L41" s="11">
        <f t="shared" si="29"/>
        <v>540</v>
      </c>
      <c r="M41" s="11">
        <f t="shared" si="22"/>
        <v>1485</v>
      </c>
      <c r="N41" s="11">
        <f t="shared" si="23"/>
        <v>215.41666666666652</v>
      </c>
      <c r="O41" s="11">
        <f t="shared" si="24"/>
        <v>540</v>
      </c>
      <c r="P41" s="4"/>
    </row>
    <row r="42" spans="1:16">
      <c r="A42" s="12" t="s">
        <v>88</v>
      </c>
      <c r="B42" s="13">
        <v>25</v>
      </c>
      <c r="C42" s="5">
        <v>50</v>
      </c>
      <c r="D42" s="4">
        <f>1800/25</f>
        <v>72</v>
      </c>
      <c r="E42" s="4">
        <f t="shared" si="20"/>
        <v>12.5</v>
      </c>
      <c r="F42" s="4">
        <f t="shared" si="25"/>
        <v>0</v>
      </c>
      <c r="G42" s="11">
        <f t="shared" si="26"/>
        <v>900</v>
      </c>
      <c r="H42" s="11">
        <f t="shared" si="27"/>
        <v>3600</v>
      </c>
      <c r="I42" s="4">
        <v>100</v>
      </c>
      <c r="J42" s="11">
        <f t="shared" si="21"/>
        <v>1250</v>
      </c>
      <c r="K42" s="11">
        <f>0+0+3+1+0.5+1.5+1+2+4+3.5+1+4+2+6+1.5+5+1.5</f>
        <v>37.5</v>
      </c>
      <c r="L42" s="11">
        <f t="shared" si="29"/>
        <v>3750</v>
      </c>
      <c r="M42" s="11">
        <f>J41+L41</f>
        <v>1485</v>
      </c>
      <c r="N42" s="11">
        <f t="shared" si="23"/>
        <v>-2115</v>
      </c>
      <c r="O42" s="11">
        <f t="shared" si="24"/>
        <v>3750</v>
      </c>
      <c r="P42" s="4"/>
    </row>
    <row r="43" spans="1:16">
      <c r="A43" s="12" t="s">
        <v>29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3582.916666666667</v>
      </c>
      <c r="H44" s="11">
        <f t="shared" si="27"/>
        <v>0</v>
      </c>
      <c r="I44" s="16"/>
      <c r="J44" s="21">
        <f>SUM(J36:J43)</f>
        <v>4356</v>
      </c>
      <c r="K44" s="11"/>
      <c r="L44" s="17">
        <f>SUM(L36:L43)</f>
        <v>11072</v>
      </c>
      <c r="M44" s="21">
        <f>SUM(M36:M43)</f>
        <v>11913</v>
      </c>
      <c r="N44" s="11">
        <f t="shared" si="23"/>
        <v>11913</v>
      </c>
      <c r="O44" s="18">
        <f>SUM(O36:O43)-P44</f>
        <v>0</v>
      </c>
      <c r="P44" s="17">
        <f>0+0+570+655+50+765+685+100+815+670+496+540+936+1015+540+470+600+150+540+980+495</f>
        <v>11072</v>
      </c>
    </row>
    <row r="45" spans="1:16" ht="16.5" thickTop="1">
      <c r="A45" s="70" t="s">
        <v>30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</row>
    <row r="46" spans="1:16">
      <c r="A46" s="3" t="s">
        <v>2</v>
      </c>
      <c r="B46" s="35" t="s">
        <v>17</v>
      </c>
      <c r="C46" s="35" t="s">
        <v>21</v>
      </c>
      <c r="D46" s="36" t="s">
        <v>67</v>
      </c>
      <c r="E46" s="36" t="s">
        <v>6</v>
      </c>
      <c r="F46" s="36" t="s">
        <v>3</v>
      </c>
      <c r="G46" s="36" t="s">
        <v>43</v>
      </c>
      <c r="H46" s="36" t="s">
        <v>44</v>
      </c>
      <c r="I46" s="36" t="s">
        <v>48</v>
      </c>
      <c r="J46" s="36" t="s">
        <v>14</v>
      </c>
      <c r="K46" s="36" t="s">
        <v>35</v>
      </c>
      <c r="L46" s="36" t="s">
        <v>36</v>
      </c>
      <c r="M46" s="36" t="s">
        <v>46</v>
      </c>
      <c r="N46" s="36" t="s">
        <v>47</v>
      </c>
      <c r="O46" s="36" t="s">
        <v>15</v>
      </c>
      <c r="P46" s="36" t="s">
        <v>4</v>
      </c>
    </row>
    <row r="47" spans="1:16">
      <c r="A47" s="12" t="s">
        <v>31</v>
      </c>
      <c r="B47" s="13">
        <v>50</v>
      </c>
      <c r="C47" s="5">
        <v>68</v>
      </c>
      <c r="D47" s="4">
        <f>3850/50</f>
        <v>77</v>
      </c>
      <c r="E47" s="4">
        <f>(C47+(F47*B47))-K47</f>
        <v>36.25</v>
      </c>
      <c r="F47" s="4">
        <f>0+0</f>
        <v>0</v>
      </c>
      <c r="G47" s="11">
        <f>E47*D47</f>
        <v>2791.25</v>
      </c>
      <c r="H47" s="11">
        <f>(E47+K47)*D47</f>
        <v>5236</v>
      </c>
      <c r="I47" s="4">
        <v>115</v>
      </c>
      <c r="J47" s="11">
        <f>(I47*E47)</f>
        <v>4168.75</v>
      </c>
      <c r="K47" s="11">
        <f>0+0+2.5+2.5+3.5+0.25+1+1+0.5+1+2.25+1.25+1+0.25+4+1.75+1+0.5+1.25+6.25</f>
        <v>31.75</v>
      </c>
      <c r="L47" s="11">
        <f>K47*I47</f>
        <v>3651.25</v>
      </c>
      <c r="M47" s="11">
        <f>J47+L47</f>
        <v>7820</v>
      </c>
      <c r="N47" s="11">
        <f>M47-H47</f>
        <v>2584</v>
      </c>
      <c r="O47" s="11">
        <f>L47</f>
        <v>3651.25</v>
      </c>
      <c r="P47" s="4"/>
    </row>
    <row r="48" spans="1:16">
      <c r="A48" s="12" t="s">
        <v>32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33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2791.25</v>
      </c>
      <c r="H50" s="17">
        <f>SUM(H47:H49)</f>
        <v>5236</v>
      </c>
      <c r="I50" s="16"/>
      <c r="J50" s="17">
        <f>SUM(J47:J49)</f>
        <v>4168.75</v>
      </c>
      <c r="K50" s="17"/>
      <c r="L50" s="17">
        <f>SUM(L47:L49)</f>
        <v>3651.25</v>
      </c>
      <c r="M50" s="17">
        <f>SUM(M47:M49)</f>
        <v>7820</v>
      </c>
      <c r="N50" s="17">
        <f>SUM(N47:N49)</f>
        <v>2584</v>
      </c>
      <c r="O50" s="17">
        <f>SUM(O47:O49)-P50</f>
        <v>0.25</v>
      </c>
      <c r="P50" s="17">
        <f>0+0+288+287+403+28+115+115+58+115+259+143+115+29+460+201+115+58+144+718</f>
        <v>3651</v>
      </c>
    </row>
    <row r="51" spans="1:16" s="1" customFormat="1" ht="16.5" thickTop="1">
      <c r="A51" s="76" t="s">
        <v>37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1:16" s="1" customFormat="1">
      <c r="A52" s="3" t="s">
        <v>2</v>
      </c>
      <c r="B52" s="35" t="s">
        <v>17</v>
      </c>
      <c r="C52" s="35" t="s">
        <v>21</v>
      </c>
      <c r="D52" s="36" t="s">
        <v>67</v>
      </c>
      <c r="E52" s="36" t="s">
        <v>6</v>
      </c>
      <c r="F52" s="36" t="s">
        <v>3</v>
      </c>
      <c r="G52" s="36" t="s">
        <v>43</v>
      </c>
      <c r="H52" s="36" t="s">
        <v>44</v>
      </c>
      <c r="I52" s="36" t="s">
        <v>48</v>
      </c>
      <c r="J52" s="36" t="s">
        <v>14</v>
      </c>
      <c r="K52" s="36" t="s">
        <v>35</v>
      </c>
      <c r="L52" s="36" t="s">
        <v>36</v>
      </c>
      <c r="M52" s="36" t="s">
        <v>46</v>
      </c>
      <c r="N52" s="36" t="s">
        <v>47</v>
      </c>
      <c r="O52" s="36" t="s">
        <v>15</v>
      </c>
      <c r="P52" s="36" t="s">
        <v>4</v>
      </c>
    </row>
    <row r="53" spans="1:16" s="2" customFormat="1">
      <c r="A53" s="12" t="s">
        <v>66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68</v>
      </c>
      <c r="B54" s="5">
        <v>8</v>
      </c>
      <c r="C54" s="5">
        <v>4</v>
      </c>
      <c r="D54" s="65">
        <f>1890/8</f>
        <v>236.25</v>
      </c>
      <c r="E54" s="4">
        <f t="shared" si="30"/>
        <v>2</v>
      </c>
      <c r="F54" s="4">
        <f t="shared" ref="F54:F63" si="37">0+0</f>
        <v>0</v>
      </c>
      <c r="G54" s="11">
        <f t="shared" si="31"/>
        <v>472.5</v>
      </c>
      <c r="H54" s="11">
        <f t="shared" si="32"/>
        <v>945</v>
      </c>
      <c r="I54" s="5">
        <v>250</v>
      </c>
      <c r="J54" s="11">
        <f t="shared" si="33"/>
        <v>500</v>
      </c>
      <c r="K54" s="11">
        <f>0+0+1+1</f>
        <v>2</v>
      </c>
      <c r="L54" s="11">
        <f t="shared" ref="L54:L63" si="38">K54*I54</f>
        <v>500</v>
      </c>
      <c r="M54" s="11">
        <f t="shared" si="34"/>
        <v>1000</v>
      </c>
      <c r="N54" s="11">
        <f t="shared" si="35"/>
        <v>55</v>
      </c>
      <c r="O54" s="11">
        <f t="shared" si="36"/>
        <v>500</v>
      </c>
      <c r="P54" s="32"/>
    </row>
    <row r="55" spans="1:16" s="2" customFormat="1">
      <c r="A55" s="12" t="s">
        <v>69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70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90</v>
      </c>
      <c r="B57" s="5">
        <v>40</v>
      </c>
      <c r="C57" s="5">
        <v>26</v>
      </c>
      <c r="D57" s="65">
        <f>500/40</f>
        <v>12.5</v>
      </c>
      <c r="E57" s="4">
        <f>(C57+(F57*B57))-K57</f>
        <v>4</v>
      </c>
      <c r="F57" s="4">
        <f t="shared" si="37"/>
        <v>0</v>
      </c>
      <c r="G57" s="11">
        <f t="shared" si="31"/>
        <v>50</v>
      </c>
      <c r="H57" s="11">
        <f t="shared" si="32"/>
        <v>325</v>
      </c>
      <c r="I57" s="5">
        <v>20</v>
      </c>
      <c r="J57" s="11">
        <f t="shared" si="33"/>
        <v>80</v>
      </c>
      <c r="K57" s="11">
        <f>0+0+1+2+2+1+1+3+10+2</f>
        <v>22</v>
      </c>
      <c r="L57" s="11">
        <f t="shared" si="38"/>
        <v>440</v>
      </c>
      <c r="M57" s="11">
        <f t="shared" si="34"/>
        <v>520</v>
      </c>
      <c r="N57" s="11">
        <f t="shared" si="35"/>
        <v>195</v>
      </c>
      <c r="O57" s="11">
        <f t="shared" si="36"/>
        <v>440</v>
      </c>
      <c r="P57" s="32"/>
    </row>
    <row r="58" spans="1:16" s="2" customFormat="1">
      <c r="A58" s="12" t="s">
        <v>85</v>
      </c>
      <c r="B58" s="5">
        <v>50</v>
      </c>
      <c r="C58" s="5">
        <v>4</v>
      </c>
      <c r="D58" s="5">
        <f>1500/50</f>
        <v>30</v>
      </c>
      <c r="E58" s="4">
        <f t="shared" si="30"/>
        <v>37</v>
      </c>
      <c r="F58" s="4">
        <f>0+0+1</f>
        <v>1</v>
      </c>
      <c r="G58" s="11">
        <f t="shared" si="31"/>
        <v>1110</v>
      </c>
      <c r="H58" s="11">
        <f t="shared" si="32"/>
        <v>1620</v>
      </c>
      <c r="I58" s="5">
        <v>35</v>
      </c>
      <c r="J58" s="11">
        <f t="shared" si="33"/>
        <v>1295</v>
      </c>
      <c r="K58" s="11">
        <f>0+0+2+2-2+1+1+4+4+5</f>
        <v>17</v>
      </c>
      <c r="L58" s="11">
        <f t="shared" si="38"/>
        <v>595</v>
      </c>
      <c r="M58" s="11">
        <f t="shared" si="34"/>
        <v>1890</v>
      </c>
      <c r="N58" s="11">
        <f t="shared" si="35"/>
        <v>270</v>
      </c>
      <c r="O58" s="11">
        <f t="shared" si="36"/>
        <v>595</v>
      </c>
      <c r="P58" s="32"/>
    </row>
    <row r="59" spans="1:16" s="2" customFormat="1">
      <c r="A59" s="12" t="s">
        <v>96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97</v>
      </c>
      <c r="B60" s="5">
        <v>10</v>
      </c>
      <c r="C60" s="5">
        <v>10</v>
      </c>
      <c r="D60" s="5">
        <f>1300/10</f>
        <v>130</v>
      </c>
      <c r="E60" s="4">
        <f t="shared" si="30"/>
        <v>7</v>
      </c>
      <c r="F60" s="4">
        <f t="shared" si="37"/>
        <v>0</v>
      </c>
      <c r="G60" s="11">
        <f t="shared" si="31"/>
        <v>910</v>
      </c>
      <c r="H60" s="11">
        <f t="shared" si="32"/>
        <v>1300</v>
      </c>
      <c r="I60" s="5">
        <v>170</v>
      </c>
      <c r="J60" s="11">
        <f t="shared" si="33"/>
        <v>1190</v>
      </c>
      <c r="K60" s="11">
        <f>0+0+1+1+1</f>
        <v>3</v>
      </c>
      <c r="L60" s="11">
        <f t="shared" si="38"/>
        <v>510</v>
      </c>
      <c r="M60" s="11">
        <f t="shared" si="34"/>
        <v>1700</v>
      </c>
      <c r="N60" s="11">
        <f t="shared" si="35"/>
        <v>400</v>
      </c>
      <c r="O60" s="11">
        <f t="shared" si="36"/>
        <v>510</v>
      </c>
      <c r="P60" s="32"/>
    </row>
    <row r="61" spans="1:16" s="2" customFormat="1">
      <c r="A61" s="12" t="s">
        <v>38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39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40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4571.5</v>
      </c>
      <c r="H64" s="17">
        <f>SUM(H53:H63)</f>
        <v>6444</v>
      </c>
      <c r="I64" s="39"/>
      <c r="J64" s="17">
        <f>SUM(J53:J63)</f>
        <v>5315</v>
      </c>
      <c r="K64" s="41"/>
      <c r="L64" s="17">
        <f>SUM(L53:L63)</f>
        <v>2295</v>
      </c>
      <c r="M64" s="17">
        <f>SUM(M53:M63)</f>
        <v>7610</v>
      </c>
      <c r="N64" s="17">
        <f>SUM(N53:N63)</f>
        <v>1166</v>
      </c>
      <c r="O64" s="17">
        <f>SUM(O53:O63)-P64</f>
        <v>0</v>
      </c>
      <c r="P64" s="17">
        <f>0+0+20+70+40+285+420+35+40+190+140+270+140+175+60+170+200+40</f>
        <v>2295</v>
      </c>
    </row>
    <row r="65" spans="1:16" s="2" customFormat="1" ht="16.5" thickTop="1">
      <c r="A65" s="78" t="s">
        <v>41</v>
      </c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1:16" s="2" customFormat="1">
      <c r="A66" s="3" t="s">
        <v>2</v>
      </c>
      <c r="B66" s="35" t="s">
        <v>17</v>
      </c>
      <c r="C66" s="35" t="s">
        <v>21</v>
      </c>
      <c r="D66" s="36" t="s">
        <v>5</v>
      </c>
      <c r="E66" s="36" t="s">
        <v>6</v>
      </c>
      <c r="F66" s="36" t="s">
        <v>3</v>
      </c>
      <c r="G66" s="36" t="s">
        <v>43</v>
      </c>
      <c r="H66" s="36" t="s">
        <v>44</v>
      </c>
      <c r="I66" s="36" t="s">
        <v>48</v>
      </c>
      <c r="J66" s="36" t="s">
        <v>14</v>
      </c>
      <c r="K66" s="36" t="s">
        <v>35</v>
      </c>
      <c r="L66" s="36" t="s">
        <v>36</v>
      </c>
      <c r="M66" s="36" t="s">
        <v>46</v>
      </c>
      <c r="N66" s="36" t="s">
        <v>47</v>
      </c>
      <c r="O66" s="36" t="s">
        <v>15</v>
      </c>
      <c r="P66" s="36" t="s">
        <v>4</v>
      </c>
    </row>
    <row r="67" spans="1:16" s="2" customFormat="1">
      <c r="A67" s="12" t="s">
        <v>71</v>
      </c>
      <c r="B67" s="5">
        <v>16</v>
      </c>
      <c r="C67" s="5">
        <v>11</v>
      </c>
      <c r="D67" s="5">
        <f>2256/16</f>
        <v>141</v>
      </c>
      <c r="E67" s="4">
        <f t="shared" ref="E67:E77" si="40">(C67+(F67*B67))-K67</f>
        <v>7</v>
      </c>
      <c r="F67" s="4">
        <f>0+0</f>
        <v>0</v>
      </c>
      <c r="G67" s="11">
        <f t="shared" ref="G67:G77" si="41">E67*D67</f>
        <v>987</v>
      </c>
      <c r="H67" s="11">
        <f t="shared" ref="H67:H77" si="42">(E67+K67)*D67</f>
        <v>1551</v>
      </c>
      <c r="I67" s="5">
        <v>155</v>
      </c>
      <c r="J67" s="11">
        <f t="shared" ref="J67:J77" si="43">(I67*E67)</f>
        <v>1085</v>
      </c>
      <c r="K67" s="11">
        <f>0+0+1+1+1+1</f>
        <v>4</v>
      </c>
      <c r="L67" s="11">
        <f t="shared" ref="L67:L77" si="44">K67*I67</f>
        <v>620</v>
      </c>
      <c r="M67" s="11">
        <f t="shared" ref="M67:M77" si="45">J67+L67</f>
        <v>1705</v>
      </c>
      <c r="N67" s="11">
        <f t="shared" ref="N67:N77" si="46">M67-H67</f>
        <v>154</v>
      </c>
      <c r="O67" s="11">
        <f t="shared" ref="O67:O77" si="47">L67</f>
        <v>620</v>
      </c>
      <c r="P67" s="32"/>
    </row>
    <row r="68" spans="1:16" s="2" customFormat="1">
      <c r="A68" s="12" t="s">
        <v>72</v>
      </c>
      <c r="B68" s="5">
        <v>16</v>
      </c>
      <c r="C68" s="5">
        <v>5</v>
      </c>
      <c r="D68" s="65">
        <f>1237/16</f>
        <v>77.3125</v>
      </c>
      <c r="E68" s="4">
        <f t="shared" si="40"/>
        <v>1</v>
      </c>
      <c r="F68" s="4">
        <f t="shared" ref="F68:F77" si="48">0+0</f>
        <v>0</v>
      </c>
      <c r="G68" s="11">
        <f t="shared" si="41"/>
        <v>77.3125</v>
      </c>
      <c r="H68" s="11">
        <f t="shared" si="42"/>
        <v>386.5625</v>
      </c>
      <c r="I68" s="5">
        <v>90</v>
      </c>
      <c r="J68" s="11">
        <f t="shared" si="43"/>
        <v>90</v>
      </c>
      <c r="K68" s="11">
        <f>0+0+1+1+1+1</f>
        <v>4</v>
      </c>
      <c r="L68" s="11">
        <f t="shared" si="44"/>
        <v>360</v>
      </c>
      <c r="M68" s="11">
        <f t="shared" si="45"/>
        <v>450</v>
      </c>
      <c r="N68" s="11">
        <f t="shared" si="46"/>
        <v>63.4375</v>
      </c>
      <c r="O68" s="11">
        <f t="shared" si="47"/>
        <v>360</v>
      </c>
      <c r="P68" s="32"/>
    </row>
    <row r="69" spans="1:16" s="2" customFormat="1">
      <c r="A69" s="12" t="s">
        <v>73</v>
      </c>
      <c r="B69" s="5">
        <v>18</v>
      </c>
      <c r="C69" s="5">
        <v>7</v>
      </c>
      <c r="D69" s="65">
        <f>1476/18</f>
        <v>82</v>
      </c>
      <c r="E69" s="4">
        <f t="shared" si="40"/>
        <v>4</v>
      </c>
      <c r="F69" s="4">
        <f t="shared" si="48"/>
        <v>0</v>
      </c>
      <c r="G69" s="11">
        <f t="shared" si="41"/>
        <v>328</v>
      </c>
      <c r="H69" s="11">
        <f t="shared" si="42"/>
        <v>574</v>
      </c>
      <c r="I69" s="5">
        <v>90</v>
      </c>
      <c r="J69" s="11">
        <f t="shared" si="43"/>
        <v>360</v>
      </c>
      <c r="K69" s="11">
        <f>0+0+1+1+1</f>
        <v>3</v>
      </c>
      <c r="L69" s="11">
        <f t="shared" si="44"/>
        <v>270</v>
      </c>
      <c r="M69" s="11">
        <f t="shared" si="45"/>
        <v>630</v>
      </c>
      <c r="N69" s="11">
        <f t="shared" si="46"/>
        <v>56</v>
      </c>
      <c r="O69" s="11">
        <f t="shared" si="47"/>
        <v>270</v>
      </c>
      <c r="P69" s="32"/>
    </row>
    <row r="70" spans="1:16" s="2" customFormat="1">
      <c r="A70" s="12" t="s">
        <v>74</v>
      </c>
      <c r="B70" s="5">
        <v>16</v>
      </c>
      <c r="C70" s="5">
        <v>4</v>
      </c>
      <c r="D70" s="65">
        <f>1310/16</f>
        <v>81.875</v>
      </c>
      <c r="E70" s="4">
        <f t="shared" si="40"/>
        <v>8</v>
      </c>
      <c r="F70" s="4">
        <f>0+0+1</f>
        <v>1</v>
      </c>
      <c r="G70" s="11">
        <f t="shared" si="41"/>
        <v>655</v>
      </c>
      <c r="H70" s="11">
        <f t="shared" si="42"/>
        <v>1637.5</v>
      </c>
      <c r="I70" s="5">
        <v>90</v>
      </c>
      <c r="J70" s="11">
        <f t="shared" si="43"/>
        <v>720</v>
      </c>
      <c r="K70" s="11">
        <f>0+0+2+2+1+2+1+1+2+1</f>
        <v>12</v>
      </c>
      <c r="L70" s="11">
        <f t="shared" si="44"/>
        <v>1080</v>
      </c>
      <c r="M70" s="11">
        <f t="shared" si="45"/>
        <v>1800</v>
      </c>
      <c r="N70" s="11">
        <f t="shared" si="46"/>
        <v>162.5</v>
      </c>
      <c r="O70" s="11">
        <f t="shared" si="47"/>
        <v>1080</v>
      </c>
      <c r="P70" s="32"/>
    </row>
    <row r="71" spans="1:16" s="2" customFormat="1">
      <c r="A71" s="12" t="s">
        <v>93</v>
      </c>
      <c r="B71" s="5">
        <v>12</v>
      </c>
      <c r="C71" s="5">
        <v>12</v>
      </c>
      <c r="D71" s="5">
        <f>444/12</f>
        <v>37</v>
      </c>
      <c r="E71" s="4">
        <f t="shared" si="40"/>
        <v>5</v>
      </c>
      <c r="F71" s="4">
        <f t="shared" si="48"/>
        <v>0</v>
      </c>
      <c r="G71" s="11">
        <f t="shared" si="41"/>
        <v>185</v>
      </c>
      <c r="H71" s="11">
        <f t="shared" si="42"/>
        <v>444</v>
      </c>
      <c r="I71" s="5">
        <v>50</v>
      </c>
      <c r="J71" s="11">
        <f t="shared" si="43"/>
        <v>250</v>
      </c>
      <c r="K71" s="11">
        <f>0+0+1+1+1+1+1+1+1</f>
        <v>7</v>
      </c>
      <c r="L71" s="11">
        <f t="shared" si="44"/>
        <v>350</v>
      </c>
      <c r="M71" s="11">
        <f t="shared" si="45"/>
        <v>600</v>
      </c>
      <c r="N71" s="11">
        <f t="shared" si="46"/>
        <v>156</v>
      </c>
      <c r="O71" s="11">
        <f t="shared" si="47"/>
        <v>350</v>
      </c>
      <c r="P71" s="32"/>
    </row>
    <row r="72" spans="1:16" s="2" customFormat="1">
      <c r="A72" s="12" t="s">
        <v>94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95</v>
      </c>
      <c r="B73" s="5">
        <v>12</v>
      </c>
      <c r="C73" s="5">
        <v>12</v>
      </c>
      <c r="D73" s="5">
        <f>420/12</f>
        <v>35</v>
      </c>
      <c r="E73" s="4">
        <f t="shared" si="40"/>
        <v>10</v>
      </c>
      <c r="F73" s="4">
        <f t="shared" si="48"/>
        <v>0</v>
      </c>
      <c r="G73" s="11">
        <f t="shared" si="41"/>
        <v>350</v>
      </c>
      <c r="H73" s="11">
        <f t="shared" si="42"/>
        <v>420</v>
      </c>
      <c r="I73" s="5">
        <v>50</v>
      </c>
      <c r="J73" s="11">
        <f t="shared" si="43"/>
        <v>500</v>
      </c>
      <c r="K73" s="11">
        <f>0+0+1+1</f>
        <v>2</v>
      </c>
      <c r="L73" s="11">
        <f t="shared" si="44"/>
        <v>100</v>
      </c>
      <c r="M73" s="11">
        <f t="shared" si="45"/>
        <v>600</v>
      </c>
      <c r="N73" s="11">
        <f t="shared" si="46"/>
        <v>180</v>
      </c>
      <c r="O73" s="11">
        <f t="shared" si="47"/>
        <v>100</v>
      </c>
      <c r="P73" s="32"/>
    </row>
    <row r="74" spans="1:16" s="2" customFormat="1">
      <c r="A74" s="12" t="s">
        <v>42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:K77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>
      <c r="A75" s="12" t="s">
        <v>99</v>
      </c>
      <c r="B75" s="80">
        <v>6</v>
      </c>
      <c r="C75" s="80">
        <v>0</v>
      </c>
      <c r="D75" s="80">
        <f>480/6</f>
        <v>80</v>
      </c>
      <c r="E75" s="4">
        <f t="shared" si="40"/>
        <v>6</v>
      </c>
      <c r="F75" s="4">
        <f>0+0+1</f>
        <v>1</v>
      </c>
      <c r="G75" s="11">
        <f t="shared" si="41"/>
        <v>480</v>
      </c>
      <c r="H75" s="11">
        <f t="shared" si="42"/>
        <v>480</v>
      </c>
      <c r="I75" s="80">
        <v>90</v>
      </c>
      <c r="J75" s="11">
        <f t="shared" si="43"/>
        <v>540</v>
      </c>
      <c r="K75" s="11">
        <f t="shared" si="49"/>
        <v>0</v>
      </c>
      <c r="L75" s="11">
        <f t="shared" si="44"/>
        <v>0</v>
      </c>
      <c r="M75" s="11">
        <f t="shared" si="45"/>
        <v>540</v>
      </c>
      <c r="N75" s="11">
        <f t="shared" si="46"/>
        <v>60</v>
      </c>
      <c r="O75" s="11">
        <f t="shared" si="47"/>
        <v>0</v>
      </c>
      <c r="P75" s="81"/>
    </row>
    <row r="76" spans="1:16" s="2" customFormat="1">
      <c r="A76" s="12" t="s">
        <v>100</v>
      </c>
      <c r="B76" s="80">
        <v>6</v>
      </c>
      <c r="C76" s="80">
        <v>0</v>
      </c>
      <c r="D76" s="80">
        <f>270/6</f>
        <v>45</v>
      </c>
      <c r="E76" s="4">
        <f t="shared" si="40"/>
        <v>6</v>
      </c>
      <c r="F76" s="4">
        <f>0+0+1</f>
        <v>1</v>
      </c>
      <c r="G76" s="11">
        <f t="shared" si="41"/>
        <v>270</v>
      </c>
      <c r="H76" s="11">
        <f t="shared" si="42"/>
        <v>270</v>
      </c>
      <c r="I76" s="80">
        <v>55</v>
      </c>
      <c r="J76" s="11">
        <f t="shared" si="43"/>
        <v>330</v>
      </c>
      <c r="K76" s="11">
        <f t="shared" si="49"/>
        <v>0</v>
      </c>
      <c r="L76" s="11">
        <f t="shared" si="44"/>
        <v>0</v>
      </c>
      <c r="M76" s="11">
        <f t="shared" si="45"/>
        <v>330</v>
      </c>
      <c r="N76" s="11">
        <f t="shared" si="46"/>
        <v>60</v>
      </c>
      <c r="O76" s="11">
        <f t="shared" si="47"/>
        <v>0</v>
      </c>
      <c r="P76" s="81"/>
    </row>
    <row r="77" spans="1:16" s="2" customFormat="1">
      <c r="A77" s="12" t="s">
        <v>101</v>
      </c>
      <c r="B77" s="80">
        <v>6</v>
      </c>
      <c r="C77" s="80">
        <v>0</v>
      </c>
      <c r="D77" s="80">
        <f>330/6</f>
        <v>55</v>
      </c>
      <c r="E77" s="4">
        <f t="shared" si="40"/>
        <v>6</v>
      </c>
      <c r="F77" s="4">
        <f>0+0+1</f>
        <v>1</v>
      </c>
      <c r="G77" s="11">
        <f t="shared" si="41"/>
        <v>330</v>
      </c>
      <c r="H77" s="11">
        <f t="shared" si="42"/>
        <v>330</v>
      </c>
      <c r="I77" s="80">
        <v>65</v>
      </c>
      <c r="J77" s="11">
        <f t="shared" si="43"/>
        <v>390</v>
      </c>
      <c r="K77" s="11">
        <f t="shared" si="49"/>
        <v>0</v>
      </c>
      <c r="L77" s="11">
        <f t="shared" si="44"/>
        <v>0</v>
      </c>
      <c r="M77" s="11">
        <f t="shared" si="45"/>
        <v>390</v>
      </c>
      <c r="N77" s="11">
        <f t="shared" si="46"/>
        <v>60</v>
      </c>
      <c r="O77" s="11">
        <f t="shared" si="47"/>
        <v>0</v>
      </c>
      <c r="P77" s="81"/>
    </row>
    <row r="78" spans="1:16" s="2" customFormat="1" ht="15.75" thickBot="1">
      <c r="A78" s="19" t="s">
        <v>12</v>
      </c>
      <c r="B78" s="39"/>
      <c r="C78" s="39"/>
      <c r="D78" s="39"/>
      <c r="E78" s="39"/>
      <c r="F78" s="39"/>
      <c r="G78" s="17">
        <f>SUM(G67:G74)</f>
        <v>2897.3125</v>
      </c>
      <c r="H78" s="17">
        <f>SUM(H67:H74)</f>
        <v>5398.0625</v>
      </c>
      <c r="I78" s="39"/>
      <c r="J78" s="17">
        <f>SUM(J67:J74)</f>
        <v>3455</v>
      </c>
      <c r="K78" s="41"/>
      <c r="L78" s="17">
        <f>SUM(L67:L74)</f>
        <v>2880</v>
      </c>
      <c r="M78" s="17">
        <f>SUM(M67:M74)</f>
        <v>6335</v>
      </c>
      <c r="N78" s="17">
        <f>SUM(N67:N74)</f>
        <v>936.9375</v>
      </c>
      <c r="O78" s="17">
        <f>SUM(O67:O74)-P78</f>
        <v>0</v>
      </c>
      <c r="P78" s="17">
        <f>0+0+90+50+50+180+370+245+230+90+180+100+140+155+425+155+50+50+180+140</f>
        <v>2880</v>
      </c>
    </row>
    <row r="79" spans="1:16" s="2" customFormat="1" ht="15.75" thickTop="1">
      <c r="A79" s="29"/>
      <c r="B79" s="30"/>
      <c r="C79" s="30"/>
      <c r="D79" s="30"/>
      <c r="E79" s="30"/>
      <c r="F79" s="30"/>
      <c r="G79" s="31"/>
      <c r="H79" s="31"/>
      <c r="I79" s="30"/>
      <c r="J79" s="31"/>
      <c r="K79" s="31"/>
      <c r="L79" s="31"/>
      <c r="M79" s="31"/>
      <c r="N79" s="31"/>
      <c r="O79" s="31"/>
      <c r="P79" s="31"/>
    </row>
    <row r="80" spans="1:16" ht="15.75" thickBot="1"/>
    <row r="81" spans="1:16" ht="16.5" thickBot="1">
      <c r="A81" s="72" t="s">
        <v>34</v>
      </c>
      <c r="B81" s="73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</row>
    <row r="82" spans="1:16" ht="16.5" thickBot="1">
      <c r="A82" s="55" t="s">
        <v>58</v>
      </c>
      <c r="B82" s="56">
        <f>56607+B84</f>
        <v>56607</v>
      </c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ht="16.5" thickBot="1">
      <c r="A83" s="66" t="s">
        <v>78</v>
      </c>
      <c r="B83" s="67">
        <v>33334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ht="16.5" thickBot="1">
      <c r="A84" s="66" t="s">
        <v>79</v>
      </c>
      <c r="B84" s="67">
        <v>0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>
      <c r="A85" s="22" t="s">
        <v>52</v>
      </c>
      <c r="B85" s="26">
        <f>G19+G33+G44+G50+G64+G78</f>
        <v>34509.5625</v>
      </c>
    </row>
    <row r="86" spans="1:16">
      <c r="A86" s="23" t="s">
        <v>53</v>
      </c>
      <c r="B86" s="44">
        <f>J19+J33+J44+J50+J64+J78</f>
        <v>42220.75</v>
      </c>
    </row>
    <row r="87" spans="1:16" ht="15.75" thickBot="1">
      <c r="A87" s="45" t="s">
        <v>56</v>
      </c>
      <c r="B87" s="51">
        <f>B88-B83-B84</f>
        <v>24456.729166666664</v>
      </c>
    </row>
    <row r="88" spans="1:16">
      <c r="A88" s="46" t="s">
        <v>45</v>
      </c>
      <c r="B88" s="47">
        <f>H19+H33+H44+H50+H64+H78</f>
        <v>57790.729166666664</v>
      </c>
    </row>
    <row r="89" spans="1:16">
      <c r="A89" s="43" t="s">
        <v>51</v>
      </c>
      <c r="B89" s="48">
        <f>M19+M33+M44+M50+M64+M78</f>
        <v>82371</v>
      </c>
    </row>
    <row r="90" spans="1:16">
      <c r="A90" s="24" t="s">
        <v>50</v>
      </c>
      <c r="B90" s="27">
        <f>N19+N33+N44+N50+N64+N78</f>
        <v>24580.270833333332</v>
      </c>
    </row>
    <row r="91" spans="1:16" ht="15.75" thickBot="1">
      <c r="A91" s="49" t="s">
        <v>59</v>
      </c>
      <c r="B91" s="50">
        <f>L19+L33+L44+L50+L64+L78</f>
        <v>26665.25</v>
      </c>
    </row>
    <row r="92" spans="1:16">
      <c r="A92" s="52" t="s">
        <v>55</v>
      </c>
      <c r="B92" s="53">
        <f>P19+P33+P44+P50+P64+P78</f>
        <v>43665</v>
      </c>
    </row>
    <row r="93" spans="1:16">
      <c r="A93" s="25" t="s">
        <v>54</v>
      </c>
      <c r="B93" s="28">
        <f>O19+O33+O44+O50+O64+O78</f>
        <v>0.25</v>
      </c>
    </row>
    <row r="94" spans="1:16">
      <c r="A94" s="68" t="s">
        <v>80</v>
      </c>
      <c r="B94" s="69">
        <v>38903</v>
      </c>
    </row>
    <row r="95" spans="1:16" ht="15.75" thickBot="1">
      <c r="A95" s="57" t="s">
        <v>57</v>
      </c>
      <c r="B95" s="58">
        <f>B94+B92-B87-B96</f>
        <v>58111.270833333336</v>
      </c>
    </row>
    <row r="96" spans="1:16">
      <c r="A96" s="59" t="s">
        <v>60</v>
      </c>
      <c r="B96" s="60">
        <v>0</v>
      </c>
    </row>
    <row r="97" spans="1:2" ht="15.75" thickBot="1">
      <c r="A97" s="33" t="s">
        <v>61</v>
      </c>
      <c r="B97" s="42">
        <f>(B86+B95)+B93</f>
        <v>100332.27083333334</v>
      </c>
    </row>
  </sheetData>
  <mergeCells count="9">
    <mergeCell ref="A45:P45"/>
    <mergeCell ref="A81:P81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2015-08-22T18:25:51Z</dcterms:modified>
</cp:coreProperties>
</file>