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47"/>
  <c r="P71"/>
  <c r="K34"/>
  <c r="K66"/>
  <c r="K44"/>
  <c r="K37"/>
  <c r="K29"/>
  <c r="K20"/>
  <c r="K15"/>
  <c r="K14"/>
  <c r="K11"/>
  <c r="K9"/>
  <c r="K8"/>
  <c r="K7"/>
  <c r="K5"/>
  <c r="F51"/>
  <c r="F50"/>
  <c r="F15"/>
  <c r="F14"/>
  <c r="F12"/>
  <c r="F10"/>
  <c r="F7"/>
  <c r="P60"/>
  <c r="K63"/>
  <c r="K54"/>
  <c r="K21"/>
  <c r="K16"/>
  <c r="F16"/>
  <c r="K10"/>
  <c r="K65"/>
  <c r="K51"/>
  <c r="K40"/>
  <c r="K6"/>
  <c r="K26"/>
  <c r="K22"/>
  <c r="K13"/>
  <c r="F34"/>
  <c r="D34"/>
  <c r="K50"/>
  <c r="K64"/>
  <c r="K27"/>
  <c r="K12"/>
  <c r="D66"/>
  <c r="D65"/>
  <c r="F65"/>
  <c r="F66"/>
  <c r="K39"/>
  <c r="F21"/>
  <c r="F20"/>
  <c r="F5"/>
  <c r="F6"/>
  <c r="F25"/>
  <c r="F26"/>
  <c r="F29"/>
  <c r="K28"/>
  <c r="D44"/>
  <c r="F44"/>
  <c r="K24"/>
  <c r="F8"/>
  <c r="F11"/>
  <c r="F9"/>
  <c r="D37" l="1"/>
  <c r="D28"/>
  <c r="F37"/>
  <c r="F64"/>
  <c r="K52"/>
  <c r="K53"/>
  <c r="F52"/>
  <c r="F53"/>
  <c r="F54"/>
  <c r="K35"/>
  <c r="K36"/>
  <c r="K38"/>
  <c r="F35"/>
  <c r="F36"/>
  <c r="F38"/>
  <c r="F39"/>
  <c r="F40"/>
  <c r="F22"/>
  <c r="F23"/>
  <c r="F24"/>
  <c r="F27"/>
  <c r="F28"/>
  <c r="F30"/>
  <c r="K23"/>
  <c r="K25"/>
  <c r="K30"/>
  <c r="F13"/>
  <c r="L37"/>
  <c r="E16"/>
  <c r="D51"/>
  <c r="L29"/>
  <c r="O29" s="1"/>
  <c r="L16"/>
  <c r="O16" s="1"/>
  <c r="E29"/>
  <c r="J29" s="1"/>
  <c r="D40"/>
  <c r="D39"/>
  <c r="D29"/>
  <c r="D27"/>
  <c r="D26"/>
  <c r="D25"/>
  <c r="D24"/>
  <c r="H29" l="1"/>
  <c r="G16"/>
  <c r="J16"/>
  <c r="M16" s="1"/>
  <c r="H16"/>
  <c r="G29"/>
  <c r="M29"/>
  <c r="D8"/>
  <c r="D7"/>
  <c r="D9"/>
  <c r="K55"/>
  <c r="K45"/>
  <c r="D54"/>
  <c r="B75"/>
  <c r="N29" l="1"/>
  <c r="N16"/>
  <c r="L50"/>
  <c r="D22"/>
  <c r="K67"/>
  <c r="E14" l="1"/>
  <c r="D21"/>
  <c r="F63" l="1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0"/>
  <c r="D64"/>
  <c r="D63"/>
  <c r="D53"/>
  <c r="D52"/>
  <c r="E12"/>
  <c r="D12"/>
  <c r="D10"/>
  <c r="E13"/>
  <c r="J13" s="1"/>
  <c r="D13"/>
  <c r="L8"/>
  <c r="O8" s="1"/>
  <c r="L44"/>
  <c r="E36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L7"/>
  <c r="L10"/>
  <c r="O10" s="1"/>
  <c r="L11"/>
  <c r="O11" s="1"/>
  <c r="L9"/>
  <c r="O9" s="1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6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N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G38" l="1"/>
  <c r="N36"/>
  <c r="N20"/>
  <c r="G40"/>
  <c r="H40"/>
  <c r="N40" s="1"/>
  <c r="H31"/>
  <c r="J69"/>
  <c r="M69" s="1"/>
  <c r="G34"/>
  <c r="G21"/>
  <c r="G31" s="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J10"/>
  <c r="M10" s="1"/>
  <c r="N10" s="1"/>
  <c r="J5"/>
  <c r="M5" s="1"/>
  <c r="H5"/>
  <c r="G41" l="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<sst xmlns="http://schemas.openxmlformats.org/spreadsheetml/2006/main" count="178" uniqueCount="95">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</sst>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63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164</v>
      </c>
      <c r="D5" s="8">
        <f>470/B5</f>
        <v>19.583333333333332</v>
      </c>
      <c r="E5" s="4">
        <f>(C5+(F5*B5))-K5</f>
        <v>76</v>
      </c>
      <c r="F5" s="4">
        <f>0+0+1+2+1</f>
        <v>4</v>
      </c>
      <c r="G5" s="11">
        <f>E5*D5</f>
        <v>1488.3333333333333</v>
      </c>
      <c r="H5" s="11">
        <f>(E5+K5)*D5</f>
        <v>5091.6666666666661</v>
      </c>
      <c r="I5" s="11">
        <v>25</v>
      </c>
      <c r="J5" s="11">
        <f>(I5*E5)</f>
        <v>1900</v>
      </c>
      <c r="K5" s="11">
        <f>0+0+7+8+8+1+3+6+3+1+6+4+6+6+8+11+6+3+2+7+1+22+2+5+4+5+49</f>
        <v>184</v>
      </c>
      <c r="L5" s="11">
        <f>K5*I5</f>
        <v>4600</v>
      </c>
      <c r="M5" s="11">
        <f>J5+L5</f>
        <v>6500</v>
      </c>
      <c r="N5" s="11">
        <f>M5-H5</f>
        <v>1408.3333333333339</v>
      </c>
      <c r="O5" s="11">
        <f>L5</f>
        <v>4600</v>
      </c>
      <c r="P5" s="11"/>
    </row>
    <row r="6" spans="1:16">
      <c r="A6" s="6" t="s">
        <v>8</v>
      </c>
      <c r="B6" s="9">
        <v>24</v>
      </c>
      <c r="C6" s="9">
        <v>106</v>
      </c>
      <c r="D6" s="8">
        <f>800/B6</f>
        <v>33.333333333333336</v>
      </c>
      <c r="E6" s="4">
        <f t="shared" ref="E6:E16" si="0">(C6+(F6*B6))-K6</f>
        <v>81</v>
      </c>
      <c r="F6" s="4">
        <f>0+0+2+3</f>
        <v>5</v>
      </c>
      <c r="G6" s="11">
        <f t="shared" ref="G6:G16" si="1">E6*D6</f>
        <v>2700</v>
      </c>
      <c r="H6" s="11">
        <f t="shared" ref="H6:H16" si="2">(E6+K6)*D6</f>
        <v>7533.3333333333339</v>
      </c>
      <c r="I6" s="11">
        <v>40</v>
      </c>
      <c r="J6" s="11">
        <f t="shared" ref="J6:J16" si="3">(I6*E6)</f>
        <v>3240</v>
      </c>
      <c r="K6" s="11">
        <f>0+0+2+4+7+3+3+2+50+4+2+2+48+1+11+3+1+2</f>
        <v>145</v>
      </c>
      <c r="L6" s="11">
        <f t="shared" ref="L6:L16" si="4">K6*I6</f>
        <v>5800</v>
      </c>
      <c r="M6" s="11">
        <f t="shared" ref="M6:M16" si="5">J6+L6</f>
        <v>9040</v>
      </c>
      <c r="N6" s="11">
        <f t="shared" ref="N6:N16" si="6">M6-H6</f>
        <v>1506.6666666666661</v>
      </c>
      <c r="O6" s="11">
        <f t="shared" ref="O6:O16" si="7">L6</f>
        <v>5800</v>
      </c>
      <c r="P6" s="11"/>
    </row>
    <row r="7" spans="1:16">
      <c r="A7" s="7" t="s">
        <v>9</v>
      </c>
      <c r="B7" s="10">
        <v>12</v>
      </c>
      <c r="C7" s="9">
        <v>30</v>
      </c>
      <c r="D7" s="8">
        <f>730/B7</f>
        <v>60.833333333333336</v>
      </c>
      <c r="E7" s="4">
        <f t="shared" si="0"/>
        <v>24</v>
      </c>
      <c r="F7" s="4">
        <f>0+0+1+1+2</f>
        <v>4</v>
      </c>
      <c r="G7" s="11">
        <f t="shared" si="1"/>
        <v>1460</v>
      </c>
      <c r="H7" s="11">
        <f t="shared" si="2"/>
        <v>4745</v>
      </c>
      <c r="I7" s="11">
        <v>70</v>
      </c>
      <c r="J7" s="11">
        <f t="shared" si="3"/>
        <v>1680</v>
      </c>
      <c r="K7" s="11">
        <f>0+0+10+1+2+1-1+1+5+1+6+1+1+1+1+6+4+6+1+4+1+2</f>
        <v>54</v>
      </c>
      <c r="L7" s="11">
        <f t="shared" si="4"/>
        <v>3780</v>
      </c>
      <c r="M7" s="11">
        <f t="shared" si="5"/>
        <v>5460</v>
      </c>
      <c r="N7" s="11">
        <f t="shared" si="6"/>
        <v>715</v>
      </c>
      <c r="O7" s="11">
        <f t="shared" si="7"/>
        <v>3780</v>
      </c>
      <c r="P7" s="11"/>
    </row>
    <row r="8" spans="1:16">
      <c r="A8" s="7" t="s">
        <v>69</v>
      </c>
      <c r="B8" s="10">
        <v>24</v>
      </c>
      <c r="C8" s="9">
        <v>22</v>
      </c>
      <c r="D8" s="8">
        <f>700/24</f>
        <v>29.166666666666668</v>
      </c>
      <c r="E8" s="4">
        <f t="shared" si="0"/>
        <v>26</v>
      </c>
      <c r="F8" s="4">
        <f>0+0+1</f>
        <v>1</v>
      </c>
      <c r="G8" s="11">
        <f t="shared" si="1"/>
        <v>758.33333333333337</v>
      </c>
      <c r="H8" s="11">
        <f t="shared" si="2"/>
        <v>1341.6666666666667</v>
      </c>
      <c r="I8" s="11">
        <v>40</v>
      </c>
      <c r="J8" s="11">
        <f t="shared" si="3"/>
        <v>1040</v>
      </c>
      <c r="K8" s="11">
        <f>0+0+3+3+1+1+2+1+1+3+1+3+1</f>
        <v>20</v>
      </c>
      <c r="L8" s="11">
        <f t="shared" si="4"/>
        <v>800</v>
      </c>
      <c r="M8" s="11">
        <f t="shared" si="5"/>
        <v>1840</v>
      </c>
      <c r="N8" s="11">
        <f t="shared" si="6"/>
        <v>498.33333333333326</v>
      </c>
      <c r="O8" s="11">
        <f t="shared" si="7"/>
        <v>800</v>
      </c>
      <c r="P8" s="11"/>
    </row>
    <row r="9" spans="1:16">
      <c r="A9" s="7" t="s">
        <v>10</v>
      </c>
      <c r="B9" s="10">
        <v>24</v>
      </c>
      <c r="C9" s="9">
        <v>14</v>
      </c>
      <c r="D9" s="8">
        <f>1280/B9</f>
        <v>53.333333333333336</v>
      </c>
      <c r="E9" s="4">
        <f t="shared" si="0"/>
        <v>12</v>
      </c>
      <c r="F9" s="4">
        <f>0+0+1+1</f>
        <v>2</v>
      </c>
      <c r="G9" s="11">
        <f t="shared" si="1"/>
        <v>640</v>
      </c>
      <c r="H9" s="11">
        <f t="shared" si="2"/>
        <v>3306.666666666667</v>
      </c>
      <c r="I9" s="11">
        <v>65</v>
      </c>
      <c r="J9" s="11">
        <f t="shared" si="3"/>
        <v>780</v>
      </c>
      <c r="K9" s="11">
        <f>0+0+1+2+2+3+2+3+3+1+4+1+2+2+2+5+4+7+1+1+1+3</f>
        <v>50</v>
      </c>
      <c r="L9" s="11">
        <f t="shared" si="4"/>
        <v>3250</v>
      </c>
      <c r="M9" s="11">
        <f t="shared" si="5"/>
        <v>4030</v>
      </c>
      <c r="N9" s="11">
        <f t="shared" si="6"/>
        <v>723.33333333333303</v>
      </c>
      <c r="O9" s="11">
        <f t="shared" si="7"/>
        <v>3250</v>
      </c>
      <c r="P9" s="11"/>
    </row>
    <row r="10" spans="1:16">
      <c r="A10" s="7" t="s">
        <v>70</v>
      </c>
      <c r="B10" s="10">
        <v>12</v>
      </c>
      <c r="C10" s="9">
        <v>34</v>
      </c>
      <c r="D10" s="8">
        <f>980/B10</f>
        <v>81.666666666666671</v>
      </c>
      <c r="E10" s="4">
        <f t="shared" si="0"/>
        <v>41</v>
      </c>
      <c r="F10" s="4">
        <f>0+0+2+2</f>
        <v>4</v>
      </c>
      <c r="G10" s="11">
        <f t="shared" si="1"/>
        <v>3348.3333333333335</v>
      </c>
      <c r="H10" s="11">
        <f t="shared" si="2"/>
        <v>6696.666666666667</v>
      </c>
      <c r="I10" s="11">
        <v>100</v>
      </c>
      <c r="J10" s="11">
        <f t="shared" si="3"/>
        <v>4100</v>
      </c>
      <c r="K10" s="11">
        <f>0+0+4+3+2+2+1+2+6+2+2+1+2+2+1+1+1+4+1+1+2+1</f>
        <v>41</v>
      </c>
      <c r="L10" s="11">
        <f t="shared" si="4"/>
        <v>4100</v>
      </c>
      <c r="M10" s="11">
        <f t="shared" si="5"/>
        <v>8200</v>
      </c>
      <c r="N10" s="11">
        <f t="shared" si="6"/>
        <v>1503.333333333333</v>
      </c>
      <c r="O10" s="11">
        <f t="shared" si="7"/>
        <v>4100</v>
      </c>
      <c r="P10" s="11"/>
    </row>
    <row r="11" spans="1:16">
      <c r="A11" s="7" t="s">
        <v>11</v>
      </c>
      <c r="B11" s="10">
        <v>6</v>
      </c>
      <c r="C11" s="9">
        <v>15</v>
      </c>
      <c r="D11" s="8">
        <f>800/B11</f>
        <v>133.33333333333334</v>
      </c>
      <c r="E11" s="4">
        <f t="shared" si="0"/>
        <v>18</v>
      </c>
      <c r="F11" s="4">
        <f>0+0+1+1+4</f>
        <v>6</v>
      </c>
      <c r="G11" s="11">
        <f t="shared" si="1"/>
        <v>2400</v>
      </c>
      <c r="H11" s="11">
        <f t="shared" si="2"/>
        <v>6800.0000000000009</v>
      </c>
      <c r="I11" s="11">
        <v>150</v>
      </c>
      <c r="J11" s="11">
        <f t="shared" si="3"/>
        <v>2700</v>
      </c>
      <c r="K11" s="11">
        <f>0+0+3+3+1+1+2+5+2+2+3+1+1+1+2+3+2+1</f>
        <v>33</v>
      </c>
      <c r="L11" s="11">
        <f t="shared" si="4"/>
        <v>4950</v>
      </c>
      <c r="M11" s="11">
        <f t="shared" si="5"/>
        <v>7650</v>
      </c>
      <c r="N11" s="11">
        <f t="shared" si="6"/>
        <v>849.99999999999909</v>
      </c>
      <c r="O11" s="11">
        <f t="shared" si="7"/>
        <v>4950</v>
      </c>
      <c r="P11" s="11"/>
    </row>
    <row r="12" spans="1:16">
      <c r="A12" s="61" t="s">
        <v>72</v>
      </c>
      <c r="B12" s="62">
        <v>12</v>
      </c>
      <c r="C12" s="9">
        <v>13</v>
      </c>
      <c r="D12" s="63">
        <f>600/12</f>
        <v>50</v>
      </c>
      <c r="E12" s="4">
        <f t="shared" si="0"/>
        <v>12</v>
      </c>
      <c r="F12" s="4">
        <f>0+0+1</f>
        <v>1</v>
      </c>
      <c r="G12" s="11">
        <f t="shared" si="1"/>
        <v>600</v>
      </c>
      <c r="H12" s="11">
        <f t="shared" si="2"/>
        <v>1250</v>
      </c>
      <c r="I12" s="64">
        <v>60</v>
      </c>
      <c r="J12" s="64">
        <f t="shared" si="3"/>
        <v>720</v>
      </c>
      <c r="K12" s="11">
        <f>0+0+2+6+1+1+3</f>
        <v>13</v>
      </c>
      <c r="L12" s="11">
        <f t="shared" si="4"/>
        <v>780</v>
      </c>
      <c r="M12" s="11">
        <f t="shared" si="5"/>
        <v>1500</v>
      </c>
      <c r="N12" s="11">
        <f t="shared" si="6"/>
        <v>250</v>
      </c>
      <c r="O12" s="11">
        <f t="shared" si="7"/>
        <v>780</v>
      </c>
      <c r="P12" s="64"/>
    </row>
    <row r="13" spans="1:16">
      <c r="A13" s="61" t="s">
        <v>71</v>
      </c>
      <c r="B13" s="62">
        <v>12</v>
      </c>
      <c r="C13" s="9">
        <v>25</v>
      </c>
      <c r="D13" s="63">
        <f>570/12</f>
        <v>47.5</v>
      </c>
      <c r="E13" s="4">
        <f t="shared" si="0"/>
        <v>13</v>
      </c>
      <c r="F13" s="4">
        <f t="shared" ref="F12:F15" si="8">0+0</f>
        <v>0</v>
      </c>
      <c r="G13" s="11">
        <f t="shared" si="1"/>
        <v>617.5</v>
      </c>
      <c r="H13" s="11">
        <f t="shared" si="2"/>
        <v>1187.5</v>
      </c>
      <c r="I13" s="64">
        <v>60</v>
      </c>
      <c r="J13" s="64">
        <f t="shared" si="3"/>
        <v>780</v>
      </c>
      <c r="K13" s="11">
        <f>0+0+1+2+2+1+1+1+1+1+1+1</f>
        <v>12</v>
      </c>
      <c r="L13" s="11">
        <f t="shared" si="4"/>
        <v>720</v>
      </c>
      <c r="M13" s="11">
        <f t="shared" si="5"/>
        <v>1500</v>
      </c>
      <c r="N13" s="11">
        <f t="shared" si="6"/>
        <v>312.5</v>
      </c>
      <c r="O13" s="11">
        <f t="shared" si="7"/>
        <v>720</v>
      </c>
      <c r="P13" s="64"/>
    </row>
    <row r="14" spans="1:16">
      <c r="A14" s="61" t="s">
        <v>83</v>
      </c>
      <c r="B14" s="62">
        <v>12</v>
      </c>
      <c r="C14" s="9">
        <v>2</v>
      </c>
      <c r="D14" s="63">
        <f>570/12</f>
        <v>47.5</v>
      </c>
      <c r="E14" s="4">
        <f>(C14+(F14*B14))-K14</f>
        <v>8</v>
      </c>
      <c r="F14" s="4">
        <f>0+0+1+1</f>
        <v>2</v>
      </c>
      <c r="G14" s="11">
        <f t="shared" si="1"/>
        <v>380</v>
      </c>
      <c r="H14" s="11">
        <f t="shared" si="2"/>
        <v>1235</v>
      </c>
      <c r="I14" s="64">
        <v>60</v>
      </c>
      <c r="J14" s="64">
        <f t="shared" si="3"/>
        <v>480</v>
      </c>
      <c r="K14" s="11">
        <f>0+0+2+3+1+2+1+1+1+1+1+1+1+3</f>
        <v>18</v>
      </c>
      <c r="L14" s="11">
        <f t="shared" si="4"/>
        <v>1080</v>
      </c>
      <c r="M14" s="11">
        <f t="shared" si="5"/>
        <v>1560</v>
      </c>
      <c r="N14" s="11">
        <f t="shared" si="6"/>
        <v>325</v>
      </c>
      <c r="O14" s="11">
        <f t="shared" si="7"/>
        <v>1080</v>
      </c>
      <c r="P14" s="64"/>
    </row>
    <row r="15" spans="1:16">
      <c r="A15" s="61" t="s">
        <v>84</v>
      </c>
      <c r="B15" s="62">
        <v>24</v>
      </c>
      <c r="C15" s="9">
        <v>5</v>
      </c>
      <c r="D15" s="63">
        <f>480/24</f>
        <v>20</v>
      </c>
      <c r="E15" s="4">
        <f t="shared" si="0"/>
        <v>20</v>
      </c>
      <c r="F15" s="4">
        <f>0+0+1</f>
        <v>1</v>
      </c>
      <c r="G15" s="11">
        <f t="shared" si="1"/>
        <v>400</v>
      </c>
      <c r="H15" s="11">
        <f t="shared" si="2"/>
        <v>580</v>
      </c>
      <c r="I15" s="64">
        <v>30</v>
      </c>
      <c r="J15" s="64">
        <f t="shared" si="3"/>
        <v>600</v>
      </c>
      <c r="K15" s="11">
        <f>0+0+1+2+3+3</f>
        <v>9</v>
      </c>
      <c r="L15" s="11">
        <f t="shared" si="4"/>
        <v>270</v>
      </c>
      <c r="M15" s="11">
        <f t="shared" si="5"/>
        <v>870</v>
      </c>
      <c r="N15" s="11">
        <f t="shared" si="6"/>
        <v>290</v>
      </c>
      <c r="O15" s="11">
        <f t="shared" si="7"/>
        <v>270</v>
      </c>
      <c r="P15" s="64"/>
    </row>
    <row r="16" spans="1:16">
      <c r="A16" s="61" t="s">
        <v>94</v>
      </c>
      <c r="B16" s="62">
        <v>24</v>
      </c>
      <c r="C16" s="9">
        <v>7</v>
      </c>
      <c r="D16" s="63">
        <v>13.75</v>
      </c>
      <c r="E16" s="4">
        <f t="shared" si="0"/>
        <v>96</v>
      </c>
      <c r="F16" s="4">
        <f>0+0+3+4</f>
        <v>7</v>
      </c>
      <c r="G16" s="11">
        <f t="shared" si="1"/>
        <v>1320</v>
      </c>
      <c r="H16" s="11">
        <f t="shared" si="2"/>
        <v>2406.25</v>
      </c>
      <c r="I16" s="64">
        <v>20</v>
      </c>
      <c r="J16" s="64">
        <f t="shared" si="3"/>
        <v>1920</v>
      </c>
      <c r="K16" s="11">
        <f>0+0+14+4+9+5+1+5+5+5+1+3+2+6+1+3+3+1+1+2+6+2</f>
        <v>79</v>
      </c>
      <c r="L16" s="11">
        <f t="shared" si="4"/>
        <v>1580</v>
      </c>
      <c r="M16" s="11">
        <f t="shared" si="5"/>
        <v>3500</v>
      </c>
      <c r="N16" s="11">
        <f t="shared" si="6"/>
        <v>1093.75</v>
      </c>
      <c r="O16" s="11">
        <f t="shared" si="7"/>
        <v>1580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14792.5</v>
      </c>
      <c r="H17" s="17">
        <f>SUM(H5:H15)</f>
        <v>39767.500000000007</v>
      </c>
      <c r="I17" s="17"/>
      <c r="J17" s="17">
        <f>SUM(J5:J15)</f>
        <v>18020</v>
      </c>
      <c r="K17" s="11"/>
      <c r="L17" s="18">
        <f>SUM(L5:L15)</f>
        <v>30130</v>
      </c>
      <c r="M17" s="18">
        <f>SUM(M5:M15)</f>
        <v>48150</v>
      </c>
      <c r="N17" s="18">
        <f>SUM(N5:N15)</f>
        <v>8382.4999999999982</v>
      </c>
      <c r="O17" s="18">
        <f>SUM(O5:O15)-P17</f>
        <v>0</v>
      </c>
      <c r="P17" s="17">
        <f>0+0+1970+1350+1330+585+700+610+625+850+3865+925+900+915+520+895+940+2885+905+910+545+455+2785+485+775+405+690+290+2020</f>
        <v>30130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11</v>
      </c>
      <c r="D20" s="8">
        <f>972/24</f>
        <v>40.5</v>
      </c>
      <c r="E20" s="4">
        <f>(C20+(F20*B20))-K20</f>
        <v>13</v>
      </c>
      <c r="F20" s="4">
        <f>0+0+1</f>
        <v>1</v>
      </c>
      <c r="G20" s="11">
        <f>E20*D20</f>
        <v>526.5</v>
      </c>
      <c r="H20" s="11">
        <f>(E20+K20)*D20</f>
        <v>1417.5</v>
      </c>
      <c r="I20" s="4">
        <v>50</v>
      </c>
      <c r="J20" s="11">
        <f>(I20*E20)</f>
        <v>650</v>
      </c>
      <c r="K20" s="11">
        <f>0+0+2+1+1+1+3+2+1+1+1+4+2+1+2</f>
        <v>22</v>
      </c>
      <c r="L20" s="11">
        <f>K20*I20</f>
        <v>1100</v>
      </c>
      <c r="M20" s="11">
        <f>J20+L20</f>
        <v>1750</v>
      </c>
      <c r="N20" s="11">
        <f>M20-H20</f>
        <v>332.5</v>
      </c>
      <c r="O20" s="11">
        <f>L20</f>
        <v>1100</v>
      </c>
      <c r="P20" s="4"/>
    </row>
    <row r="21" spans="1:16">
      <c r="A21" s="12" t="s">
        <v>88</v>
      </c>
      <c r="B21" s="5">
        <v>24</v>
      </c>
      <c r="C21" s="12">
        <v>14</v>
      </c>
      <c r="D21" s="8">
        <f>940/24</f>
        <v>39.166666666666664</v>
      </c>
      <c r="E21" s="4">
        <f t="shared" ref="E21:E30" si="9">(C21+(F21*B21))-K21</f>
        <v>23</v>
      </c>
      <c r="F21" s="4">
        <f>0+0+1</f>
        <v>1</v>
      </c>
      <c r="G21" s="11">
        <f t="shared" ref="G21:G30" si="10">E21*D21</f>
        <v>900.83333333333326</v>
      </c>
      <c r="H21" s="11">
        <f t="shared" ref="H21:H30" si="11">(E21+K21)*D21</f>
        <v>1488.3333333333333</v>
      </c>
      <c r="I21" s="4">
        <v>50</v>
      </c>
      <c r="J21" s="11">
        <f t="shared" ref="J21:J30" si="12">(I21*E21)</f>
        <v>1150</v>
      </c>
      <c r="K21" s="11">
        <f>0+0+2+1+1+1+2+1+1+1+1+1+3</f>
        <v>15</v>
      </c>
      <c r="L21" s="11">
        <f t="shared" ref="L21:L29" si="13">K21*I21</f>
        <v>750</v>
      </c>
      <c r="M21" s="11">
        <f t="shared" ref="M21:M30" si="14">J21+L21</f>
        <v>1900</v>
      </c>
      <c r="N21" s="11">
        <f t="shared" ref="N21:N30" si="15">M21-H21</f>
        <v>411.66666666666674</v>
      </c>
      <c r="O21" s="11">
        <f t="shared" ref="O21:O30" si="16">L21</f>
        <v>750</v>
      </c>
      <c r="P21" s="4"/>
    </row>
    <row r="22" spans="1:16">
      <c r="A22" s="12" t="s">
        <v>91</v>
      </c>
      <c r="B22" s="5">
        <v>24</v>
      </c>
      <c r="C22" s="12">
        <v>21</v>
      </c>
      <c r="D22" s="4">
        <f>1080/24</f>
        <v>45</v>
      </c>
      <c r="E22" s="4">
        <f t="shared" si="9"/>
        <v>5</v>
      </c>
      <c r="F22" s="4">
        <f t="shared" ref="F22:F30" si="17">0+0</f>
        <v>0</v>
      </c>
      <c r="G22" s="11">
        <f t="shared" si="10"/>
        <v>225</v>
      </c>
      <c r="H22" s="11">
        <f t="shared" si="11"/>
        <v>945</v>
      </c>
      <c r="I22" s="4">
        <v>50</v>
      </c>
      <c r="J22" s="11">
        <f t="shared" si="12"/>
        <v>250</v>
      </c>
      <c r="K22" s="11">
        <f>0+0+3+4+1+2+2+3+1</f>
        <v>16</v>
      </c>
      <c r="L22" s="11">
        <f t="shared" si="13"/>
        <v>800</v>
      </c>
      <c r="M22" s="11">
        <f t="shared" si="14"/>
        <v>1050</v>
      </c>
      <c r="N22" s="11">
        <f t="shared" si="15"/>
        <v>105</v>
      </c>
      <c r="O22" s="11">
        <f t="shared" si="16"/>
        <v>800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ref="K23:K30" si="18">0+0</f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18</v>
      </c>
      <c r="B24" s="13">
        <v>12</v>
      </c>
      <c r="C24" s="12">
        <v>8</v>
      </c>
      <c r="D24" s="4">
        <f>1180/12</f>
        <v>98.333333333333329</v>
      </c>
      <c r="E24" s="4">
        <f t="shared" si="9"/>
        <v>5</v>
      </c>
      <c r="F24" s="4">
        <f t="shared" si="17"/>
        <v>0</v>
      </c>
      <c r="G24" s="11">
        <f t="shared" si="10"/>
        <v>491.66666666666663</v>
      </c>
      <c r="H24" s="11">
        <f t="shared" si="11"/>
        <v>786.66666666666663</v>
      </c>
      <c r="I24" s="4">
        <v>110</v>
      </c>
      <c r="J24" s="11">
        <f t="shared" si="12"/>
        <v>550</v>
      </c>
      <c r="K24" s="11">
        <f>0+0+1+1+1</f>
        <v>3</v>
      </c>
      <c r="L24" s="11">
        <f t="shared" si="13"/>
        <v>330</v>
      </c>
      <c r="M24" s="11">
        <f t="shared" si="14"/>
        <v>880</v>
      </c>
      <c r="N24" s="11">
        <f t="shared" si="15"/>
        <v>93.333333333333371</v>
      </c>
      <c r="O24" s="11">
        <f t="shared" si="16"/>
        <v>330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9"/>
        <v>24</v>
      </c>
      <c r="F25" s="4">
        <f>0+0+1</f>
        <v>1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8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10</v>
      </c>
      <c r="F26" s="4">
        <f>0+0+1</f>
        <v>1</v>
      </c>
      <c r="G26" s="11">
        <f>E26*D26</f>
        <v>983.33333333333326</v>
      </c>
      <c r="H26" s="11">
        <f t="shared" si="11"/>
        <v>2163.333333333333</v>
      </c>
      <c r="I26" s="4">
        <v>110</v>
      </c>
      <c r="J26" s="11">
        <f t="shared" si="12"/>
        <v>1100</v>
      </c>
      <c r="K26" s="11">
        <f>0+0+1+2+1+1+4+2+1</f>
        <v>12</v>
      </c>
      <c r="L26" s="11">
        <f t="shared" si="13"/>
        <v>1320</v>
      </c>
      <c r="M26" s="11">
        <f t="shared" si="14"/>
        <v>2420</v>
      </c>
      <c r="N26" s="11">
        <f t="shared" si="15"/>
        <v>256.66666666666697</v>
      </c>
      <c r="O26" s="11">
        <f t="shared" si="16"/>
        <v>1320</v>
      </c>
      <c r="P26" s="4"/>
    </row>
    <row r="27" spans="1:16">
      <c r="A27" s="12" t="s">
        <v>22</v>
      </c>
      <c r="B27" s="13">
        <v>24</v>
      </c>
      <c r="C27" s="12">
        <v>12</v>
      </c>
      <c r="D27" s="4">
        <f>1200/24</f>
        <v>50</v>
      </c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600</v>
      </c>
      <c r="I27" s="4">
        <v>60</v>
      </c>
      <c r="J27" s="11">
        <f t="shared" si="12"/>
        <v>0</v>
      </c>
      <c r="K27" s="11">
        <f>0+0+1+1+1+1+1+1+1+2+1+1+1</f>
        <v>12</v>
      </c>
      <c r="L27" s="11">
        <f t="shared" si="13"/>
        <v>720</v>
      </c>
      <c r="M27" s="11">
        <f t="shared" si="14"/>
        <v>720</v>
      </c>
      <c r="N27" s="11">
        <f t="shared" si="15"/>
        <v>120</v>
      </c>
      <c r="O27" s="11">
        <f t="shared" si="16"/>
        <v>720</v>
      </c>
      <c r="P27" s="4"/>
    </row>
    <row r="28" spans="1:16">
      <c r="A28" s="12" t="s">
        <v>24</v>
      </c>
      <c r="B28" s="13">
        <v>12</v>
      </c>
      <c r="C28" s="12">
        <v>9</v>
      </c>
      <c r="D28" s="4">
        <f>1240/12</f>
        <v>103.33333333333333</v>
      </c>
      <c r="E28" s="4">
        <f t="shared" si="9"/>
        <v>7</v>
      </c>
      <c r="F28" s="4">
        <f t="shared" si="17"/>
        <v>0</v>
      </c>
      <c r="G28" s="11">
        <f t="shared" si="10"/>
        <v>723.33333333333326</v>
      </c>
      <c r="H28" s="11">
        <f t="shared" si="11"/>
        <v>930</v>
      </c>
      <c r="I28" s="4">
        <v>125</v>
      </c>
      <c r="J28" s="11">
        <f t="shared" si="12"/>
        <v>875</v>
      </c>
      <c r="K28" s="11">
        <f>0+0+1+1</f>
        <v>2</v>
      </c>
      <c r="L28" s="11">
        <f t="shared" si="13"/>
        <v>250</v>
      </c>
      <c r="M28" s="11">
        <f t="shared" si="14"/>
        <v>1125</v>
      </c>
      <c r="N28" s="11">
        <f t="shared" si="15"/>
        <v>195</v>
      </c>
      <c r="O28" s="11">
        <f t="shared" si="16"/>
        <v>250</v>
      </c>
      <c r="P28" s="4"/>
    </row>
    <row r="29" spans="1:16">
      <c r="A29" s="12" t="s">
        <v>93</v>
      </c>
      <c r="B29" s="13">
        <v>12</v>
      </c>
      <c r="C29" s="12">
        <v>5</v>
      </c>
      <c r="D29" s="4">
        <f>1100/12</f>
        <v>91.666666666666671</v>
      </c>
      <c r="E29" s="4">
        <f t="shared" si="9"/>
        <v>9</v>
      </c>
      <c r="F29" s="4">
        <f>0+0+1+1</f>
        <v>2</v>
      </c>
      <c r="G29" s="11">
        <f t="shared" si="10"/>
        <v>825</v>
      </c>
      <c r="H29" s="11">
        <f t="shared" si="11"/>
        <v>2658.3333333333335</v>
      </c>
      <c r="I29" s="4">
        <v>110</v>
      </c>
      <c r="J29" s="11">
        <f t="shared" si="12"/>
        <v>990</v>
      </c>
      <c r="K29" s="11">
        <f>0+0+1+1+2+3+1+5-5+2+1+2+2+2+2+1</f>
        <v>20</v>
      </c>
      <c r="L29" s="11">
        <f t="shared" si="13"/>
        <v>2200</v>
      </c>
      <c r="M29" s="11">
        <f t="shared" si="14"/>
        <v>3190</v>
      </c>
      <c r="N29" s="11">
        <f t="shared" si="15"/>
        <v>531.66666666666652</v>
      </c>
      <c r="O29" s="11">
        <f t="shared" si="16"/>
        <v>2200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4675.6666666666661</v>
      </c>
      <c r="H31" s="17">
        <f>SUM(H20:H30)</f>
        <v>10989.166666666666</v>
      </c>
      <c r="I31" s="16"/>
      <c r="J31" s="17">
        <f>SUM(J20:J30)</f>
        <v>5565</v>
      </c>
      <c r="K31" s="18"/>
      <c r="L31" s="18">
        <f>SUM(L20:L30)</f>
        <v>7470</v>
      </c>
      <c r="M31" s="21">
        <f>SUM(M20:M30)</f>
        <v>13035</v>
      </c>
      <c r="N31" s="21">
        <f>SUM(N20:N30)</f>
        <v>2045.8333333333335</v>
      </c>
      <c r="O31" s="18">
        <f>SUM(O20:O30)-P31</f>
        <v>0</v>
      </c>
      <c r="P31" s="17">
        <f>0+0+270+430+360+330+220+455+310+110+1030-240+110+330+125+380+700+110+220+50+50+500+270+60+400+160+320+200+210</f>
        <v>7470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38</v>
      </c>
      <c r="D34" s="4">
        <f>2400/20</f>
        <v>120</v>
      </c>
      <c r="E34" s="4">
        <f t="shared" ref="E34:E40" si="19">(C34+(F34*B34))-K34</f>
        <v>13</v>
      </c>
      <c r="F34" s="4">
        <f>0+0+1+1+1</f>
        <v>3</v>
      </c>
      <c r="G34" s="11">
        <f>E34*D34</f>
        <v>1560</v>
      </c>
      <c r="H34" s="11">
        <f>(E34+K34)*D34</f>
        <v>15360</v>
      </c>
      <c r="I34" s="4">
        <v>140</v>
      </c>
      <c r="J34" s="11">
        <f t="shared" ref="J34:J40" si="20">(I34*E34)</f>
        <v>1820</v>
      </c>
      <c r="K34" s="11">
        <f>0+0+5+5+5+5+5+5+5+5+5+6+5+5+5+5+5+5+4+5+5+4+4+4+4+4</f>
        <v>115</v>
      </c>
      <c r="L34" s="11">
        <f>K34*I34</f>
        <v>16100</v>
      </c>
      <c r="M34" s="11">
        <f t="shared" ref="M34:M40" si="21">J34+L34</f>
        <v>17920</v>
      </c>
      <c r="N34" s="11">
        <f t="shared" ref="N34:N40" si="22">M34-H34</f>
        <v>2560</v>
      </c>
      <c r="O34" s="11">
        <f t="shared" ref="O34:O40" si="23">L34</f>
        <v>16100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0" si="24">0+0</f>
        <v>0</v>
      </c>
      <c r="G35" s="11">
        <f t="shared" ref="G35:G40" si="25">E35*D35</f>
        <v>0</v>
      </c>
      <c r="H35" s="11">
        <f t="shared" ref="H35:H40" si="26">(E35+K35)*D35</f>
        <v>0</v>
      </c>
      <c r="I35" s="4"/>
      <c r="J35" s="11">
        <f t="shared" si="20"/>
        <v>0</v>
      </c>
      <c r="K35" s="11">
        <f t="shared" ref="K35:K38" si="27">0+0</f>
        <v>0</v>
      </c>
      <c r="L35" s="11">
        <f t="shared" ref="L35:L40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7</v>
      </c>
      <c r="D37" s="4">
        <f>1415/12</f>
        <v>117.91666666666667</v>
      </c>
      <c r="E37" s="4">
        <f t="shared" si="19"/>
        <v>4</v>
      </c>
      <c r="F37" s="4">
        <f>0+0+2</f>
        <v>2</v>
      </c>
      <c r="G37" s="11">
        <f t="shared" si="25"/>
        <v>471.66666666666669</v>
      </c>
      <c r="H37" s="11">
        <f t="shared" si="26"/>
        <v>3655.416666666667</v>
      </c>
      <c r="I37" s="4">
        <v>125</v>
      </c>
      <c r="J37" s="11">
        <f t="shared" si="20"/>
        <v>500</v>
      </c>
      <c r="K37" s="11">
        <f>0+0+2+3+2+1+2+4+3+2+2+3+2+1</f>
        <v>27</v>
      </c>
      <c r="L37" s="11">
        <f>K37*I37</f>
        <v>3375</v>
      </c>
      <c r="M37" s="11">
        <f t="shared" si="21"/>
        <v>3875</v>
      </c>
      <c r="N37" s="11">
        <f t="shared" si="22"/>
        <v>219.58333333333303</v>
      </c>
      <c r="O37" s="11">
        <f t="shared" si="23"/>
        <v>3375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10</v>
      </c>
      <c r="D39" s="4">
        <f>1385/12</f>
        <v>115.41666666666667</v>
      </c>
      <c r="E39" s="4">
        <f t="shared" si="19"/>
        <v>9</v>
      </c>
      <c r="F39" s="4">
        <f t="shared" si="24"/>
        <v>0</v>
      </c>
      <c r="G39" s="11">
        <f t="shared" si="25"/>
        <v>1038.75</v>
      </c>
      <c r="H39" s="11">
        <f t="shared" si="26"/>
        <v>1154.1666666666667</v>
      </c>
      <c r="I39" s="4">
        <v>127</v>
      </c>
      <c r="J39" s="11">
        <f t="shared" si="20"/>
        <v>1143</v>
      </c>
      <c r="K39" s="11">
        <f>0+0+1</f>
        <v>1</v>
      </c>
      <c r="L39" s="11">
        <f t="shared" si="28"/>
        <v>127</v>
      </c>
      <c r="M39" s="11">
        <f t="shared" si="21"/>
        <v>1270</v>
      </c>
      <c r="N39" s="11">
        <f t="shared" si="22"/>
        <v>115.83333333333326</v>
      </c>
      <c r="O39" s="11">
        <f t="shared" si="23"/>
        <v>127</v>
      </c>
      <c r="P39" s="4"/>
    </row>
    <row r="40" spans="1:16">
      <c r="A40" s="12" t="s">
        <v>31</v>
      </c>
      <c r="B40" s="13">
        <v>24</v>
      </c>
      <c r="C40" s="5">
        <v>21</v>
      </c>
      <c r="D40" s="4">
        <f>1400/24</f>
        <v>58.333333333333336</v>
      </c>
      <c r="E40" s="4">
        <f t="shared" si="19"/>
        <v>11</v>
      </c>
      <c r="F40" s="4">
        <f t="shared" si="24"/>
        <v>0</v>
      </c>
      <c r="G40" s="11">
        <f t="shared" si="25"/>
        <v>641.66666666666674</v>
      </c>
      <c r="H40" s="11">
        <f t="shared" si="26"/>
        <v>1225</v>
      </c>
      <c r="I40" s="4">
        <v>70</v>
      </c>
      <c r="J40" s="11">
        <f t="shared" si="20"/>
        <v>770</v>
      </c>
      <c r="K40" s="11">
        <f>0+0+1+1+1+1+1+2+2+1</f>
        <v>10</v>
      </c>
      <c r="L40" s="11">
        <f t="shared" si="28"/>
        <v>700</v>
      </c>
      <c r="M40" s="11">
        <f t="shared" si="21"/>
        <v>1470</v>
      </c>
      <c r="N40" s="11">
        <f t="shared" si="22"/>
        <v>245</v>
      </c>
      <c r="O40" s="11">
        <f t="shared" si="23"/>
        <v>700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3712.0833333333339</v>
      </c>
      <c r="H41" s="21">
        <f>SUM(H34:H40)</f>
        <v>21394.583333333336</v>
      </c>
      <c r="I41" s="16"/>
      <c r="J41" s="21">
        <f>SUM(J34:J40)</f>
        <v>4233</v>
      </c>
      <c r="K41" s="11"/>
      <c r="L41" s="17">
        <f>SUM(L34:L40)</f>
        <v>20302</v>
      </c>
      <c r="M41" s="21">
        <f>SUM(M34:M40)</f>
        <v>24535</v>
      </c>
      <c r="N41" s="21">
        <f>SUM(N34:N40)</f>
        <v>3140.4166666666661</v>
      </c>
      <c r="O41" s="18">
        <f>SUM(O34:O40)-P41</f>
        <v>0</v>
      </c>
      <c r="P41" s="17">
        <f>0+0+950+1145+770+950+700+770+817+8+1020+1200+840+770+1075+700+700+950+700+687+700+950+1075+140+630+810+1245</f>
        <v>20302</v>
      </c>
    </row>
    <row r="42" spans="1:16" ht="16.5" thickTop="1">
      <c r="A42" s="70" t="s">
        <v>32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49</v>
      </c>
      <c r="D44" s="4">
        <f>3850/50</f>
        <v>77</v>
      </c>
      <c r="E44" s="4">
        <f>(C44+(F44*B44))-K44</f>
        <v>35</v>
      </c>
      <c r="F44" s="4">
        <f>0+0+1</f>
        <v>1</v>
      </c>
      <c r="G44" s="11">
        <f>E44*D44</f>
        <v>2695</v>
      </c>
      <c r="H44" s="11">
        <f>(E44+K44)*D44</f>
        <v>7623</v>
      </c>
      <c r="I44" s="4">
        <v>100</v>
      </c>
      <c r="J44" s="11">
        <f>(I44*E44)</f>
        <v>3500</v>
      </c>
      <c r="K44" s="11">
        <f>0+0+4.5+2+3.25+2+2.75+1.25+1.25+4.75+1+4.75+2.5+1.75+3+2.5+1.25+1.25+3.25+1.75+1.5+5.25+2.25+2.5+0.75+5.25+0.25+1.5</f>
        <v>64</v>
      </c>
      <c r="L44" s="11">
        <f>K44*I44</f>
        <v>6400</v>
      </c>
      <c r="M44" s="11">
        <f>J44+L44</f>
        <v>9900</v>
      </c>
      <c r="N44" s="11">
        <f>M44-H44</f>
        <v>2277</v>
      </c>
      <c r="O44" s="11">
        <f>L44</f>
        <v>6400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2695</v>
      </c>
      <c r="H47" s="17">
        <f>SUM(H44:H46)</f>
        <v>7623</v>
      </c>
      <c r="I47" s="16"/>
      <c r="J47" s="17">
        <f>SUM(J44:J46)</f>
        <v>3500</v>
      </c>
      <c r="K47" s="17"/>
      <c r="L47" s="17">
        <f>SUM(L44:L46)</f>
        <v>6400</v>
      </c>
      <c r="M47" s="17">
        <f>SUM(M44:M46)</f>
        <v>9900</v>
      </c>
      <c r="N47" s="17">
        <f>SUM(N44:N46)</f>
        <v>2277</v>
      </c>
      <c r="O47" s="17">
        <f>SUM(O44:O46)-P47</f>
        <v>0</v>
      </c>
      <c r="P47" s="17">
        <f>0+0+450+200+325+200+275+125+125+475+100+475+250+175+300+250+125+125+325+175+150+525+225+250+75+525+25+150</f>
        <v>6400</v>
      </c>
    </row>
    <row r="48" spans="1:16" s="1" customFormat="1" ht="16.5" thickTop="1">
      <c r="A48" s="76" t="s">
        <v>39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6</v>
      </c>
      <c r="D50" s="65">
        <f>1816/8</f>
        <v>227</v>
      </c>
      <c r="E50" s="4">
        <f t="shared" ref="E50:E59" si="29">(C50+(F50*B50))-K50</f>
        <v>8</v>
      </c>
      <c r="F50" s="4">
        <f>0+0+1</f>
        <v>1</v>
      </c>
      <c r="G50" s="11">
        <f t="shared" ref="G50:G59" si="30">E50*D50</f>
        <v>1816</v>
      </c>
      <c r="H50" s="11">
        <f t="shared" ref="H50:H59" si="31">(E50+K50)*D50</f>
        <v>3178</v>
      </c>
      <c r="I50" s="5">
        <v>250</v>
      </c>
      <c r="J50" s="11">
        <f t="shared" ref="J50:J59" si="32">(I50*E50)</f>
        <v>2000</v>
      </c>
      <c r="K50" s="11">
        <f>0+0+1+1+1+1+1+1</f>
        <v>6</v>
      </c>
      <c r="L50" s="11">
        <f>K50*I50</f>
        <v>1500</v>
      </c>
      <c r="M50" s="11">
        <f t="shared" ref="M50:M59" si="33">J50+L50</f>
        <v>3500</v>
      </c>
      <c r="N50" s="11">
        <f t="shared" ref="N50:N59" si="34">M50-H50</f>
        <v>322</v>
      </c>
      <c r="O50" s="11">
        <f t="shared" ref="O50:O59" si="35">L50</f>
        <v>1500</v>
      </c>
      <c r="P50" s="32"/>
    </row>
    <row r="51" spans="1:16" s="2" customFormat="1">
      <c r="A51" s="12" t="s">
        <v>75</v>
      </c>
      <c r="B51" s="5">
        <v>8</v>
      </c>
      <c r="C51" s="5">
        <v>10</v>
      </c>
      <c r="D51" s="65">
        <f>1890/8</f>
        <v>236.25</v>
      </c>
      <c r="E51" s="4">
        <f t="shared" si="29"/>
        <v>11</v>
      </c>
      <c r="F51" s="4">
        <f>0+0+1</f>
        <v>1</v>
      </c>
      <c r="G51" s="11">
        <f t="shared" si="30"/>
        <v>2598.75</v>
      </c>
      <c r="H51" s="11">
        <f t="shared" si="31"/>
        <v>4252.5</v>
      </c>
      <c r="I51" s="5">
        <v>250</v>
      </c>
      <c r="J51" s="11">
        <f t="shared" si="32"/>
        <v>2750</v>
      </c>
      <c r="K51" s="11">
        <f>0+0+1+1+1+1+1+1+1</f>
        <v>7</v>
      </c>
      <c r="L51" s="11">
        <f t="shared" ref="L51:L59" si="36">K51*I51</f>
        <v>1750</v>
      </c>
      <c r="M51" s="11">
        <f t="shared" si="33"/>
        <v>4500</v>
      </c>
      <c r="N51" s="11">
        <f t="shared" si="34"/>
        <v>247.5</v>
      </c>
      <c r="O51" s="11">
        <f t="shared" si="35"/>
        <v>1750</v>
      </c>
      <c r="P51" s="32"/>
    </row>
    <row r="52" spans="1:16" s="2" customFormat="1">
      <c r="A52" s="12" t="s">
        <v>76</v>
      </c>
      <c r="B52" s="5">
        <v>64</v>
      </c>
      <c r="C52" s="5">
        <v>0</v>
      </c>
      <c r="D52" s="65">
        <f>1700/64</f>
        <v>26.5625</v>
      </c>
      <c r="E52" s="4">
        <f t="shared" si="29"/>
        <v>0</v>
      </c>
      <c r="F52" s="4">
        <f t="shared" ref="F51:F54" si="37">0+0</f>
        <v>0</v>
      </c>
      <c r="G52" s="11">
        <f t="shared" si="30"/>
        <v>0</v>
      </c>
      <c r="H52" s="11">
        <f t="shared" si="31"/>
        <v>0</v>
      </c>
      <c r="I52" s="5">
        <v>30</v>
      </c>
      <c r="J52" s="11">
        <f t="shared" si="32"/>
        <v>0</v>
      </c>
      <c r="K52" s="11">
        <f t="shared" ref="K52:K53" si="38">0+0</f>
        <v>0</v>
      </c>
      <c r="L52" s="11">
        <f t="shared" si="36"/>
        <v>0</v>
      </c>
      <c r="M52" s="11">
        <f t="shared" si="33"/>
        <v>0</v>
      </c>
      <c r="N52" s="11">
        <f t="shared" si="34"/>
        <v>0</v>
      </c>
      <c r="O52" s="11">
        <f t="shared" si="35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5">
        <f>1700/72</f>
        <v>23.611111111111111</v>
      </c>
      <c r="E53" s="4">
        <f t="shared" si="29"/>
        <v>72</v>
      </c>
      <c r="F53" s="4">
        <f t="shared" si="37"/>
        <v>0</v>
      </c>
      <c r="G53" s="11">
        <f t="shared" si="30"/>
        <v>1700</v>
      </c>
      <c r="H53" s="11">
        <f t="shared" si="31"/>
        <v>1700</v>
      </c>
      <c r="I53" s="5">
        <v>30</v>
      </c>
      <c r="J53" s="11">
        <f t="shared" si="32"/>
        <v>2160</v>
      </c>
      <c r="K53" s="11">
        <f t="shared" si="38"/>
        <v>0</v>
      </c>
      <c r="L53" s="11">
        <f t="shared" si="36"/>
        <v>0</v>
      </c>
      <c r="M53" s="11">
        <f t="shared" si="33"/>
        <v>2160</v>
      </c>
      <c r="N53" s="11">
        <f t="shared" si="34"/>
        <v>460</v>
      </c>
      <c r="O53" s="11">
        <f t="shared" si="35"/>
        <v>0</v>
      </c>
      <c r="P53" s="32"/>
    </row>
    <row r="54" spans="1:16" s="2" customFormat="1">
      <c r="A54" s="12" t="s">
        <v>92</v>
      </c>
      <c r="B54" s="5">
        <v>50</v>
      </c>
      <c r="C54" s="5">
        <v>21</v>
      </c>
      <c r="D54" s="5">
        <f>1500/50</f>
        <v>30</v>
      </c>
      <c r="E54" s="4">
        <f t="shared" si="29"/>
        <v>9</v>
      </c>
      <c r="F54" s="4">
        <f t="shared" si="37"/>
        <v>0</v>
      </c>
      <c r="G54" s="11">
        <f t="shared" si="30"/>
        <v>270</v>
      </c>
      <c r="H54" s="11">
        <f t="shared" si="31"/>
        <v>630</v>
      </c>
      <c r="I54" s="5">
        <v>35</v>
      </c>
      <c r="J54" s="11">
        <f t="shared" si="32"/>
        <v>315</v>
      </c>
      <c r="K54" s="11">
        <f>0+0+2+2+2+2+1+1+1+1</f>
        <v>12</v>
      </c>
      <c r="L54" s="11">
        <f t="shared" si="36"/>
        <v>420</v>
      </c>
      <c r="M54" s="11">
        <f t="shared" si="33"/>
        <v>735</v>
      </c>
      <c r="N54" s="11">
        <f t="shared" si="34"/>
        <v>105</v>
      </c>
      <c r="O54" s="11">
        <f t="shared" si="35"/>
        <v>420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29"/>
        <v>0</v>
      </c>
      <c r="F55" s="4">
        <f t="shared" ref="F55:F59" si="39">0+0</f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ref="K55:K59" si="40">0+0</f>
        <v>0</v>
      </c>
      <c r="L55" s="11">
        <f t="shared" si="36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29"/>
        <v>0</v>
      </c>
      <c r="F56" s="4">
        <f t="shared" si="39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40"/>
        <v>0</v>
      </c>
      <c r="L56" s="11">
        <f t="shared" si="36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29"/>
        <v>0</v>
      </c>
      <c r="F57" s="4">
        <f t="shared" si="39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40"/>
        <v>0</v>
      </c>
      <c r="L57" s="11">
        <f t="shared" si="36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29"/>
        <v>0</v>
      </c>
      <c r="F58" s="4">
        <f t="shared" si="39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40"/>
        <v>0</v>
      </c>
      <c r="L58" s="11">
        <f t="shared" si="36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29"/>
        <v>0</v>
      </c>
      <c r="F59" s="4">
        <f t="shared" si="39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40"/>
        <v>0</v>
      </c>
      <c r="L59" s="11">
        <f t="shared" si="36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6384.75</v>
      </c>
      <c r="H60" s="17">
        <f>SUM(H50:H59)</f>
        <v>9760.5</v>
      </c>
      <c r="I60" s="39"/>
      <c r="J60" s="17">
        <f>SUM(J50:J59)</f>
        <v>7225</v>
      </c>
      <c r="K60" s="41"/>
      <c r="L60" s="17">
        <f>SUM(L50:L59)</f>
        <v>3670</v>
      </c>
      <c r="M60" s="17">
        <f>SUM(M50:M59)</f>
        <v>10895</v>
      </c>
      <c r="N60" s="17">
        <f>SUM(N50:N59)</f>
        <v>1134.5</v>
      </c>
      <c r="O60" s="17">
        <f>SUM(O50:O59)-P60</f>
        <v>0</v>
      </c>
      <c r="P60" s="17">
        <f>0+0+570+320+500+70+500+70+250+35+250+250+285+285+250+35</f>
        <v>3670</v>
      </c>
    </row>
    <row r="61" spans="1:16" s="2" customFormat="1" ht="16.5" thickTop="1">
      <c r="A61" s="78" t="s">
        <v>45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5</v>
      </c>
      <c r="D63" s="5">
        <f>2256/16</f>
        <v>141</v>
      </c>
      <c r="E63" s="4">
        <f t="shared" ref="E63:E70" si="41">(C63+(F63*B63))-K63</f>
        <v>1</v>
      </c>
      <c r="F63" s="4">
        <f>0+0</f>
        <v>0</v>
      </c>
      <c r="G63" s="11">
        <f t="shared" ref="G63:G70" si="42">E63*D63</f>
        <v>141</v>
      </c>
      <c r="H63" s="11">
        <f t="shared" ref="H63:H70" si="43">(E63+K63)*D63</f>
        <v>705</v>
      </c>
      <c r="I63" s="5">
        <v>155</v>
      </c>
      <c r="J63" s="11">
        <f t="shared" ref="J63:J70" si="44">(I63*E63)</f>
        <v>155</v>
      </c>
      <c r="K63" s="11">
        <f>0+0+1+1+1+1</f>
        <v>4</v>
      </c>
      <c r="L63" s="11">
        <f t="shared" ref="L63:L70" si="45">K63*I63</f>
        <v>620</v>
      </c>
      <c r="M63" s="11">
        <f t="shared" ref="M63:M70" si="46">J63+L63</f>
        <v>775</v>
      </c>
      <c r="N63" s="11">
        <f t="shared" ref="N63:N70" si="47">M63-H63</f>
        <v>70</v>
      </c>
      <c r="O63" s="11">
        <f t="shared" ref="O63:O70" si="48">L63</f>
        <v>620</v>
      </c>
      <c r="P63" s="32"/>
    </row>
    <row r="64" spans="1:16" s="2" customFormat="1">
      <c r="A64" s="12" t="s">
        <v>79</v>
      </c>
      <c r="B64" s="5">
        <v>16</v>
      </c>
      <c r="C64" s="5">
        <v>17</v>
      </c>
      <c r="D64" s="65">
        <f>1237/16</f>
        <v>77.3125</v>
      </c>
      <c r="E64" s="4">
        <f t="shared" si="41"/>
        <v>6</v>
      </c>
      <c r="F64" s="4">
        <f t="shared" ref="F64" si="49">0+0</f>
        <v>0</v>
      </c>
      <c r="G64" s="11">
        <f t="shared" si="42"/>
        <v>463.875</v>
      </c>
      <c r="H64" s="11">
        <f t="shared" si="43"/>
        <v>1314.3125</v>
      </c>
      <c r="I64" s="5">
        <v>85</v>
      </c>
      <c r="J64" s="11">
        <f t="shared" si="44"/>
        <v>510</v>
      </c>
      <c r="K64" s="11">
        <f>0+0+1+1+2+1+1+1+1+2+1</f>
        <v>11</v>
      </c>
      <c r="L64" s="11">
        <f t="shared" si="45"/>
        <v>935</v>
      </c>
      <c r="M64" s="11">
        <f t="shared" si="46"/>
        <v>1445</v>
      </c>
      <c r="N64" s="11">
        <f t="shared" si="47"/>
        <v>130.6875</v>
      </c>
      <c r="O64" s="11">
        <f t="shared" si="48"/>
        <v>935</v>
      </c>
      <c r="P64" s="32"/>
    </row>
    <row r="65" spans="1:16" s="2" customFormat="1">
      <c r="A65" s="12" t="s">
        <v>80</v>
      </c>
      <c r="B65" s="5">
        <v>18</v>
      </c>
      <c r="C65" s="5">
        <v>6</v>
      </c>
      <c r="D65" s="65">
        <f>1476/18</f>
        <v>82</v>
      </c>
      <c r="E65" s="4">
        <f t="shared" si="41"/>
        <v>17</v>
      </c>
      <c r="F65" s="4">
        <f>0+0+1</f>
        <v>1</v>
      </c>
      <c r="G65" s="11">
        <f t="shared" si="42"/>
        <v>1394</v>
      </c>
      <c r="H65" s="11">
        <f t="shared" si="43"/>
        <v>1968</v>
      </c>
      <c r="I65" s="5">
        <v>90</v>
      </c>
      <c r="J65" s="11">
        <f t="shared" si="44"/>
        <v>1530</v>
      </c>
      <c r="K65" s="11">
        <f>0+0+1+1+1+1+2+1</f>
        <v>7</v>
      </c>
      <c r="L65" s="11">
        <f t="shared" si="45"/>
        <v>630</v>
      </c>
      <c r="M65" s="11">
        <f t="shared" si="46"/>
        <v>2160</v>
      </c>
      <c r="N65" s="11">
        <f t="shared" si="47"/>
        <v>192</v>
      </c>
      <c r="O65" s="11">
        <f t="shared" si="48"/>
        <v>630</v>
      </c>
      <c r="P65" s="32"/>
    </row>
    <row r="66" spans="1:16" s="2" customFormat="1">
      <c r="A66" s="12" t="s">
        <v>81</v>
      </c>
      <c r="B66" s="5">
        <v>16</v>
      </c>
      <c r="C66" s="5">
        <v>7</v>
      </c>
      <c r="D66" s="65">
        <f>1310/16</f>
        <v>81.875</v>
      </c>
      <c r="E66" s="4">
        <f t="shared" si="41"/>
        <v>14</v>
      </c>
      <c r="F66" s="4">
        <f>0+0+1</f>
        <v>1</v>
      </c>
      <c r="G66" s="11">
        <f t="shared" si="42"/>
        <v>1146.25</v>
      </c>
      <c r="H66" s="11">
        <f t="shared" si="43"/>
        <v>1883.125</v>
      </c>
      <c r="I66" s="5">
        <v>90</v>
      </c>
      <c r="J66" s="11">
        <f t="shared" si="44"/>
        <v>1260</v>
      </c>
      <c r="K66" s="11">
        <f>0+0+1+1+1+3+1+1+1</f>
        <v>9</v>
      </c>
      <c r="L66" s="11">
        <f t="shared" si="45"/>
        <v>810</v>
      </c>
      <c r="M66" s="11">
        <f t="shared" si="46"/>
        <v>2070</v>
      </c>
      <c r="N66" s="11">
        <f t="shared" si="47"/>
        <v>186.875</v>
      </c>
      <c r="O66" s="11">
        <f t="shared" si="48"/>
        <v>810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41"/>
        <v>0</v>
      </c>
      <c r="F67" s="4">
        <f>0+0</f>
        <v>0</v>
      </c>
      <c r="G67" s="11">
        <f t="shared" si="42"/>
        <v>0</v>
      </c>
      <c r="H67" s="11">
        <f t="shared" si="43"/>
        <v>0</v>
      </c>
      <c r="I67" s="5"/>
      <c r="J67" s="11">
        <f t="shared" si="44"/>
        <v>0</v>
      </c>
      <c r="K67" s="11">
        <f>0+0</f>
        <v>0</v>
      </c>
      <c r="L67" s="11">
        <f t="shared" si="45"/>
        <v>0</v>
      </c>
      <c r="M67" s="11">
        <f t="shared" si="46"/>
        <v>0</v>
      </c>
      <c r="N67" s="11">
        <f t="shared" si="47"/>
        <v>0</v>
      </c>
      <c r="O67" s="11">
        <f t="shared" si="48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41"/>
        <v>0</v>
      </c>
      <c r="F68" s="4">
        <f>0+0</f>
        <v>0</v>
      </c>
      <c r="G68" s="11">
        <f t="shared" si="42"/>
        <v>0</v>
      </c>
      <c r="H68" s="11">
        <f t="shared" si="43"/>
        <v>0</v>
      </c>
      <c r="I68" s="5"/>
      <c r="J68" s="11">
        <f t="shared" si="44"/>
        <v>0</v>
      </c>
      <c r="K68" s="11">
        <f>0+0</f>
        <v>0</v>
      </c>
      <c r="L68" s="11">
        <f t="shared" si="45"/>
        <v>0</v>
      </c>
      <c r="M68" s="11">
        <f t="shared" si="46"/>
        <v>0</v>
      </c>
      <c r="N68" s="11">
        <f t="shared" si="47"/>
        <v>0</v>
      </c>
      <c r="O68" s="11">
        <f t="shared" si="48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41"/>
        <v>0</v>
      </c>
      <c r="F69" s="4">
        <f>0+0</f>
        <v>0</v>
      </c>
      <c r="G69" s="11">
        <f t="shared" si="42"/>
        <v>0</v>
      </c>
      <c r="H69" s="11">
        <f t="shared" si="43"/>
        <v>0</v>
      </c>
      <c r="I69" s="5"/>
      <c r="J69" s="11">
        <f t="shared" si="44"/>
        <v>0</v>
      </c>
      <c r="K69" s="11">
        <f>0+0</f>
        <v>0</v>
      </c>
      <c r="L69" s="11">
        <f t="shared" si="45"/>
        <v>0</v>
      </c>
      <c r="M69" s="11">
        <f t="shared" si="46"/>
        <v>0</v>
      </c>
      <c r="N69" s="11">
        <f t="shared" si="47"/>
        <v>0</v>
      </c>
      <c r="O69" s="11">
        <f t="shared" si="48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41"/>
        <v>0</v>
      </c>
      <c r="F70" s="4">
        <f>0+0</f>
        <v>0</v>
      </c>
      <c r="G70" s="11">
        <f t="shared" si="42"/>
        <v>0</v>
      </c>
      <c r="H70" s="11">
        <f t="shared" si="43"/>
        <v>0</v>
      </c>
      <c r="I70" s="5"/>
      <c r="J70" s="11">
        <f t="shared" si="44"/>
        <v>0</v>
      </c>
      <c r="K70" s="11">
        <f>0+0</f>
        <v>0</v>
      </c>
      <c r="L70" s="11">
        <f t="shared" si="45"/>
        <v>0</v>
      </c>
      <c r="M70" s="11">
        <f t="shared" si="46"/>
        <v>0</v>
      </c>
      <c r="N70" s="11">
        <f t="shared" si="47"/>
        <v>0</v>
      </c>
      <c r="O70" s="11">
        <f t="shared" si="48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3145.125</v>
      </c>
      <c r="H71" s="17">
        <f>SUM(H63:H70)</f>
        <v>5870.4375</v>
      </c>
      <c r="I71" s="39"/>
      <c r="J71" s="17">
        <f>SUM(J63:J70)</f>
        <v>3455</v>
      </c>
      <c r="K71" s="41"/>
      <c r="L71" s="17">
        <f>SUM(L63:L70)</f>
        <v>2995</v>
      </c>
      <c r="M71" s="17">
        <f>SUM(M63:M70)</f>
        <v>6450</v>
      </c>
      <c r="N71" s="17">
        <f>SUM(N63:N70)</f>
        <v>579.5625</v>
      </c>
      <c r="O71" s="17">
        <f>SUM(O63:O70)-P71</f>
        <v>0</v>
      </c>
      <c r="P71" s="17">
        <f>0+0+85+85+170+240+85+580+240+85+170+85+85+85+255+65+260+85+90+155+90</f>
        <v>2995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2" t="s">
        <v>36</v>
      </c>
      <c r="B74" s="73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6" t="s">
        <v>85</v>
      </c>
      <c r="B76" s="67">
        <v>43256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86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35405.125</v>
      </c>
    </row>
    <row r="79" spans="1:16">
      <c r="A79" s="23" t="s">
        <v>60</v>
      </c>
      <c r="B79" s="44">
        <f>J17+J31+J41+J47+J60+J71</f>
        <v>41998</v>
      </c>
    </row>
    <row r="80" spans="1:16" ht="15.75" thickBot="1">
      <c r="A80" s="45" t="s">
        <v>63</v>
      </c>
      <c r="B80" s="51">
        <f>B81-B76-B77</f>
        <v>52149.1875</v>
      </c>
    </row>
    <row r="81" spans="1:2">
      <c r="A81" s="46" t="s">
        <v>52</v>
      </c>
      <c r="B81" s="47">
        <f>H17+H31+H41+H47+H60+H71</f>
        <v>95405.1875</v>
      </c>
    </row>
    <row r="82" spans="1:2">
      <c r="A82" s="43" t="s">
        <v>58</v>
      </c>
      <c r="B82" s="48">
        <f>M17+M31+M41+M47+M60+M71</f>
        <v>112965</v>
      </c>
    </row>
    <row r="83" spans="1:2">
      <c r="A83" s="24" t="s">
        <v>57</v>
      </c>
      <c r="B83" s="27">
        <f>N17+N31+N41+N47+N60+N71</f>
        <v>17559.8125</v>
      </c>
    </row>
    <row r="84" spans="1:2" ht="15.75" thickBot="1">
      <c r="A84" s="49" t="s">
        <v>66</v>
      </c>
      <c r="B84" s="50">
        <f>L17+L31+L41+L47+L60+L71</f>
        <v>70967</v>
      </c>
    </row>
    <row r="85" spans="1:2">
      <c r="A85" s="52" t="s">
        <v>62</v>
      </c>
      <c r="B85" s="53">
        <f>P17+P31+P41+P47+P60+P71</f>
        <v>70967</v>
      </c>
    </row>
    <row r="86" spans="1:2">
      <c r="A86" s="25" t="s">
        <v>61</v>
      </c>
      <c r="B86" s="28">
        <f>O17+O31+O41+O47+O60+O71</f>
        <v>0</v>
      </c>
    </row>
    <row r="87" spans="1:2">
      <c r="A87" s="68" t="s">
        <v>87</v>
      </c>
      <c r="B87" s="69">
        <v>31853</v>
      </c>
    </row>
    <row r="88" spans="1:2" ht="15.75" thickBot="1">
      <c r="A88" s="57" t="s">
        <v>64</v>
      </c>
      <c r="B88" s="58">
        <f>B87+B85-B80-B89</f>
        <v>50670.8125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92668.8125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2015-05-30T18:52:13Z</dcterms:modified>
</cp:coreProperties>
</file>