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31"/>
  <c r="P60"/>
  <c r="P71"/>
  <c r="K66"/>
  <c r="K54"/>
  <c r="K24"/>
  <c r="K23"/>
  <c r="K22"/>
  <c r="K21"/>
  <c r="K20"/>
  <c r="K16"/>
  <c r="K12"/>
  <c r="K11"/>
  <c r="K10"/>
  <c r="K7"/>
  <c r="K6"/>
  <c r="K5"/>
  <c r="P41"/>
  <c r="K65"/>
  <c r="K64"/>
  <c r="K37"/>
  <c r="K29"/>
  <c r="K26"/>
  <c r="K25"/>
  <c r="K15"/>
  <c r="K14"/>
  <c r="K13"/>
  <c r="K9"/>
  <c r="K8"/>
  <c r="F36"/>
  <c r="O36"/>
  <c r="L36"/>
  <c r="K36"/>
  <c r="D36"/>
  <c r="P47"/>
  <c r="K34"/>
  <c r="K44"/>
  <c r="F37"/>
  <c r="D23"/>
  <c r="F23"/>
  <c r="F34"/>
  <c r="D34"/>
  <c r="K28"/>
  <c r="K63"/>
  <c r="F25"/>
  <c r="D25"/>
  <c r="F5"/>
  <c r="K51"/>
  <c r="K39"/>
  <c r="E36" l="1"/>
  <c r="K67"/>
  <c r="K68"/>
  <c r="K69"/>
  <c r="K70"/>
  <c r="K52"/>
  <c r="K53"/>
  <c r="K55"/>
  <c r="K56"/>
  <c r="K57"/>
  <c r="K58"/>
  <c r="K59"/>
  <c r="K50"/>
  <c r="K35"/>
  <c r="K38"/>
  <c r="K40"/>
  <c r="K27"/>
  <c r="K30"/>
  <c r="K31"/>
  <c r="L6"/>
  <c r="L7"/>
  <c r="L8"/>
  <c r="L9"/>
  <c r="L10"/>
  <c r="L11"/>
  <c r="L12"/>
  <c r="L13"/>
  <c r="L14"/>
  <c r="L15"/>
  <c r="L16"/>
  <c r="L17"/>
  <c r="F66"/>
  <c r="F65"/>
  <c r="F51"/>
  <c r="F52"/>
  <c r="F53"/>
  <c r="F54"/>
  <c r="F55"/>
  <c r="F56"/>
  <c r="F57"/>
  <c r="F58"/>
  <c r="F59"/>
  <c r="F50"/>
  <c r="F44"/>
  <c r="F35"/>
  <c r="F38"/>
  <c r="F39"/>
  <c r="F40"/>
  <c r="F21"/>
  <c r="F20"/>
  <c r="F24"/>
  <c r="F26"/>
  <c r="F27"/>
  <c r="F28"/>
  <c r="F29"/>
  <c r="F30"/>
  <c r="F6"/>
  <c r="F7"/>
  <c r="F8"/>
  <c r="F9"/>
  <c r="F10"/>
  <c r="F11"/>
  <c r="F12"/>
  <c r="F13"/>
  <c r="F14"/>
  <c r="F15"/>
  <c r="F16"/>
  <c r="D66"/>
  <c r="D65"/>
  <c r="D44"/>
  <c r="G36" l="1"/>
  <c r="J36"/>
  <c r="M36" s="1"/>
  <c r="H36"/>
  <c r="D37"/>
  <c r="D28"/>
  <c r="F64"/>
  <c r="F22"/>
  <c r="L37"/>
  <c r="E16"/>
  <c r="D51"/>
  <c r="L29"/>
  <c r="O29" s="1"/>
  <c r="O16"/>
  <c r="E29"/>
  <c r="J29" s="1"/>
  <c r="D40"/>
  <c r="D39"/>
  <c r="D29"/>
  <c r="D27"/>
  <c r="D26"/>
  <c r="D24"/>
  <c r="N36" l="1"/>
  <c r="H29"/>
  <c r="G16"/>
  <c r="J16"/>
  <c r="M16" s="1"/>
  <c r="H16"/>
  <c r="G29"/>
  <c r="M29"/>
  <c r="D8"/>
  <c r="D7"/>
  <c r="D9"/>
  <c r="K45"/>
  <c r="D54"/>
  <c r="B75"/>
  <c r="N29" l="1"/>
  <c r="N16"/>
  <c r="L50"/>
  <c r="D22"/>
  <c r="E14" l="1"/>
  <c r="D21"/>
  <c r="F63" l="1"/>
  <c r="O15" l="1"/>
  <c r="D15"/>
  <c r="O14"/>
  <c r="D14"/>
  <c r="E15" l="1"/>
  <c r="J14"/>
  <c r="M14" s="1"/>
  <c r="D20"/>
  <c r="O13"/>
  <c r="O12"/>
  <c r="E8"/>
  <c r="J8" s="1"/>
  <c r="L64"/>
  <c r="O64" s="1"/>
  <c r="L66"/>
  <c r="O66" s="1"/>
  <c r="E6"/>
  <c r="J6" s="1"/>
  <c r="E5"/>
  <c r="L51"/>
  <c r="O51" s="1"/>
  <c r="E64"/>
  <c r="J64" s="1"/>
  <c r="D50"/>
  <c r="D64"/>
  <c r="D63"/>
  <c r="D53"/>
  <c r="D52"/>
  <c r="E12"/>
  <c r="D12"/>
  <c r="D10"/>
  <c r="E13"/>
  <c r="J13" s="1"/>
  <c r="D13"/>
  <c r="O8"/>
  <c r="L44"/>
  <c r="L65"/>
  <c r="O65" s="1"/>
  <c r="L68"/>
  <c r="O68" s="1"/>
  <c r="L69"/>
  <c r="O69" s="1"/>
  <c r="L70"/>
  <c r="O70" s="1"/>
  <c r="L67"/>
  <c r="O67" s="1"/>
  <c r="L63"/>
  <c r="F67"/>
  <c r="F68"/>
  <c r="F69"/>
  <c r="F70"/>
  <c r="E63"/>
  <c r="L52"/>
  <c r="O52" s="1"/>
  <c r="L53"/>
  <c r="O53" s="1"/>
  <c r="L54"/>
  <c r="O54" s="1"/>
  <c r="L55"/>
  <c r="O55" s="1"/>
  <c r="L56"/>
  <c r="O56" s="1"/>
  <c r="L57"/>
  <c r="O57" s="1"/>
  <c r="L58"/>
  <c r="O58" s="1"/>
  <c r="L59"/>
  <c r="O59" s="1"/>
  <c r="L45"/>
  <c r="O45" s="1"/>
  <c r="K46"/>
  <c r="L46" s="1"/>
  <c r="O46" s="1"/>
  <c r="E52"/>
  <c r="E54"/>
  <c r="G54" s="1"/>
  <c r="E56"/>
  <c r="G56" s="1"/>
  <c r="E58"/>
  <c r="G58" s="1"/>
  <c r="E53"/>
  <c r="E55"/>
  <c r="H55" s="1"/>
  <c r="E57"/>
  <c r="H57" s="1"/>
  <c r="E50"/>
  <c r="J50" s="1"/>
  <c r="E44"/>
  <c r="J44" s="1"/>
  <c r="L35"/>
  <c r="O35" s="1"/>
  <c r="O37"/>
  <c r="L38"/>
  <c r="O38" s="1"/>
  <c r="L39"/>
  <c r="O39" s="1"/>
  <c r="L40"/>
  <c r="O40" s="1"/>
  <c r="L34"/>
  <c r="E20"/>
  <c r="L20"/>
  <c r="O20" s="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30"/>
  <c r="O30" s="1"/>
  <c r="O10"/>
  <c r="O11"/>
  <c r="O9"/>
  <c r="E7"/>
  <c r="J7" s="1"/>
  <c r="F45"/>
  <c r="E45" s="1"/>
  <c r="J45" s="1"/>
  <c r="F46"/>
  <c r="E35"/>
  <c r="J35" s="1"/>
  <c r="E37"/>
  <c r="J37" s="1"/>
  <c r="M37" s="1"/>
  <c r="E39"/>
  <c r="J39" s="1"/>
  <c r="M39" s="1"/>
  <c r="E22"/>
  <c r="H22" s="1"/>
  <c r="E23"/>
  <c r="E24"/>
  <c r="H24" s="1"/>
  <c r="E25"/>
  <c r="E26"/>
  <c r="E27"/>
  <c r="E28"/>
  <c r="H28" s="1"/>
  <c r="E30"/>
  <c r="D11"/>
  <c r="D6"/>
  <c r="D5"/>
  <c r="H53" l="1"/>
  <c r="G63"/>
  <c r="H26"/>
  <c r="G26"/>
  <c r="M35"/>
  <c r="H20"/>
  <c r="E59"/>
  <c r="H59" s="1"/>
  <c r="G52"/>
  <c r="H12"/>
  <c r="G14"/>
  <c r="O7"/>
  <c r="H15"/>
  <c r="J15"/>
  <c r="M15" s="1"/>
  <c r="G15"/>
  <c r="H14"/>
  <c r="N14" s="1"/>
  <c r="M7"/>
  <c r="L5"/>
  <c r="O5" s="1"/>
  <c r="E51"/>
  <c r="H51" s="1"/>
  <c r="M8"/>
  <c r="G12"/>
  <c r="J12"/>
  <c r="M12" s="1"/>
  <c r="N12" s="1"/>
  <c r="M13"/>
  <c r="H13"/>
  <c r="G13"/>
  <c r="H8"/>
  <c r="N8" s="1"/>
  <c r="G8"/>
  <c r="M45"/>
  <c r="J20"/>
  <c r="M20" s="1"/>
  <c r="M64"/>
  <c r="E69"/>
  <c r="G69" s="1"/>
  <c r="E67"/>
  <c r="G67" s="1"/>
  <c r="E65"/>
  <c r="G65" s="1"/>
  <c r="E9"/>
  <c r="J9" s="1"/>
  <c r="M9" s="1"/>
  <c r="E40"/>
  <c r="J40" s="1"/>
  <c r="M40" s="1"/>
  <c r="E38"/>
  <c r="J38" s="1"/>
  <c r="M38" s="1"/>
  <c r="E70"/>
  <c r="J70" s="1"/>
  <c r="M70" s="1"/>
  <c r="E68"/>
  <c r="J68" s="1"/>
  <c r="M68" s="1"/>
  <c r="E66"/>
  <c r="J66" s="1"/>
  <c r="M66" s="1"/>
  <c r="E11"/>
  <c r="G11" s="1"/>
  <c r="E34"/>
  <c r="H34" s="1"/>
  <c r="L71"/>
  <c r="B85"/>
  <c r="J30"/>
  <c r="M30" s="1"/>
  <c r="H30"/>
  <c r="J27"/>
  <c r="M27" s="1"/>
  <c r="H27"/>
  <c r="H25"/>
  <c r="J25"/>
  <c r="M25" s="1"/>
  <c r="J23"/>
  <c r="M23" s="1"/>
  <c r="H23"/>
  <c r="M50"/>
  <c r="L60"/>
  <c r="O50"/>
  <c r="O60" s="1"/>
  <c r="O31"/>
  <c r="O34"/>
  <c r="E46"/>
  <c r="J46" s="1"/>
  <c r="J47" s="1"/>
  <c r="J58"/>
  <c r="M58" s="1"/>
  <c r="J56"/>
  <c r="M56" s="1"/>
  <c r="J54"/>
  <c r="M54" s="1"/>
  <c r="J52"/>
  <c r="M52" s="1"/>
  <c r="G64"/>
  <c r="H63"/>
  <c r="J63"/>
  <c r="O63"/>
  <c r="O71" s="1"/>
  <c r="E21"/>
  <c r="H21" s="1"/>
  <c r="J57"/>
  <c r="M57" s="1"/>
  <c r="N57" s="1"/>
  <c r="J55"/>
  <c r="M55" s="1"/>
  <c r="N55" s="1"/>
  <c r="J53"/>
  <c r="M53" s="1"/>
  <c r="N53" s="1"/>
  <c r="H64"/>
  <c r="O6"/>
  <c r="L47"/>
  <c r="L31"/>
  <c r="G57"/>
  <c r="G55"/>
  <c r="G53"/>
  <c r="H58"/>
  <c r="H56"/>
  <c r="H54"/>
  <c r="H52"/>
  <c r="G50"/>
  <c r="H50"/>
  <c r="G45"/>
  <c r="H45"/>
  <c r="N45" s="1"/>
  <c r="H46"/>
  <c r="M44"/>
  <c r="G44"/>
  <c r="H44"/>
  <c r="O44"/>
  <c r="O47" s="1"/>
  <c r="H38"/>
  <c r="N38" s="1"/>
  <c r="H39"/>
  <c r="N39" s="1"/>
  <c r="H37"/>
  <c r="N37" s="1"/>
  <c r="H35"/>
  <c r="E10"/>
  <c r="H10" s="1"/>
  <c r="H7"/>
  <c r="H6"/>
  <c r="G5"/>
  <c r="G28"/>
  <c r="J28"/>
  <c r="M28" s="1"/>
  <c r="N28" s="1"/>
  <c r="J26"/>
  <c r="M26" s="1"/>
  <c r="G24"/>
  <c r="J24"/>
  <c r="M24" s="1"/>
  <c r="N24" s="1"/>
  <c r="G22"/>
  <c r="J22"/>
  <c r="M22" s="1"/>
  <c r="N22" s="1"/>
  <c r="G30"/>
  <c r="G27"/>
  <c r="G25"/>
  <c r="G23"/>
  <c r="G39"/>
  <c r="G37"/>
  <c r="G35"/>
  <c r="G20"/>
  <c r="G7"/>
  <c r="G6"/>
  <c r="H47" l="1"/>
  <c r="N56"/>
  <c r="M46"/>
  <c r="M47" s="1"/>
  <c r="H69"/>
  <c r="G46"/>
  <c r="G47" s="1"/>
  <c r="G70"/>
  <c r="O41"/>
  <c r="G59"/>
  <c r="H68"/>
  <c r="N68" s="1"/>
  <c r="J59"/>
  <c r="M59" s="1"/>
  <c r="N59" s="1"/>
  <c r="H67"/>
  <c r="G68"/>
  <c r="H70"/>
  <c r="N70" s="1"/>
  <c r="L41"/>
  <c r="B84" s="1"/>
  <c r="N26"/>
  <c r="G38"/>
  <c r="N20"/>
  <c r="G40"/>
  <c r="H40"/>
  <c r="N40" s="1"/>
  <c r="H31"/>
  <c r="J69"/>
  <c r="M69" s="1"/>
  <c r="N69" s="1"/>
  <c r="G34"/>
  <c r="G21"/>
  <c r="G31" s="1"/>
  <c r="N64"/>
  <c r="J67"/>
  <c r="M67" s="1"/>
  <c r="N15"/>
  <c r="O17"/>
  <c r="G9"/>
  <c r="G51"/>
  <c r="N7"/>
  <c r="H9"/>
  <c r="N9" s="1"/>
  <c r="H11"/>
  <c r="J11"/>
  <c r="M11" s="1"/>
  <c r="N50"/>
  <c r="J51"/>
  <c r="M51" s="1"/>
  <c r="N51" s="1"/>
  <c r="H66"/>
  <c r="N66" s="1"/>
  <c r="J65"/>
  <c r="M65" s="1"/>
  <c r="H65"/>
  <c r="G66"/>
  <c r="N52"/>
  <c r="N13"/>
  <c r="J34"/>
  <c r="N54"/>
  <c r="N58"/>
  <c r="N25"/>
  <c r="J21"/>
  <c r="N35"/>
  <c r="N23"/>
  <c r="N27"/>
  <c r="N30"/>
  <c r="M63"/>
  <c r="N46"/>
  <c r="M6"/>
  <c r="N6" s="1"/>
  <c r="H60"/>
  <c r="N44"/>
  <c r="G10"/>
  <c r="J10"/>
  <c r="M10" s="1"/>
  <c r="N10" s="1"/>
  <c r="J5"/>
  <c r="M5" s="1"/>
  <c r="H5"/>
  <c r="N67" l="1"/>
  <c r="G71"/>
  <c r="G60"/>
  <c r="G41"/>
  <c r="G17"/>
  <c r="H41"/>
  <c r="H17"/>
  <c r="J71"/>
  <c r="M17"/>
  <c r="J17"/>
  <c r="M71"/>
  <c r="N65"/>
  <c r="J60"/>
  <c r="M60"/>
  <c r="H71"/>
  <c r="N11"/>
  <c r="M34"/>
  <c r="J41"/>
  <c r="N60"/>
  <c r="M21"/>
  <c r="N21" s="1"/>
  <c r="N31" s="1"/>
  <c r="J31"/>
  <c r="N47"/>
  <c r="N63"/>
  <c r="N5"/>
  <c r="B86"/>
  <c r="B78" l="1"/>
  <c r="N17"/>
  <c r="N71"/>
  <c r="B81"/>
  <c r="M31"/>
  <c r="M41"/>
  <c r="N34"/>
  <c r="N41" s="1"/>
  <c r="B79"/>
  <c r="B80" l="1"/>
  <c r="B88" s="1"/>
  <c r="B90" s="1"/>
  <c r="B83"/>
  <c r="B82"/>
</calcChain>
</file>

<file path=xl/sharedStrings.xml><?xml version="1.0" encoding="utf-8"?>
<sst xmlns="http://schemas.openxmlformats.org/spreadsheetml/2006/main" count="179" uniqueCount="96">
  <si>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</si>
  <si>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</si>
  <si>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</si>
  <si>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</si>
  <si>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</si>
  <si>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</si>
  <si>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</si>
  <si>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</si>
  <si>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</si>
  <si>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</si>
  <si>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</si>
  <si>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</si>
  <si>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</si>
  <si>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</si>
  <si>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</si>
  <si>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</si>
  <si>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</si>
  <si>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</si>
  <si>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</si>
  <si>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</si>
  <si>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</si>
  <si>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</si>
  <si>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</si>
  <si>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</si>
  <si>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</si>
  <si>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</si>
  <si>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</si>
  <si>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</si>
  <si>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</si>
  <si>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</si>
  <si>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</si>
  <si>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</si>
  <si>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</si>
  <si>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</si>
  <si>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</si>
  <si>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</si>
  <si>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</si>
  <si>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</si>
  <si>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</si>
  <si>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</si>
  <si>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</si>
  <si>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</si>
  <si>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</si>
  <si>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</si>
  <si>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</si>
  <si>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</si>
  <si>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</si>
  <si>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</si>
  <si>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</si>
  <si>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</si>
  <si>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</si>
  <si>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</si>
  <si>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</si>
  <si>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</si>
  <si>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</si>
  <si>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</si>
  <si>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</si>
  <si>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</si>
  <si>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</si>
  <si>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</si>
  <si>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</si>
  <si>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</si>
  <si>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</si>
  <si>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</si>
  <si>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</si>
  <si>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</si>
  <si>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</si>
  <si>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</si>
  <si>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</si>
  <si>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</si>
  <si>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</si>
  <si>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</si>
  <si>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</si>
  <si>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</si>
  <si>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</si>
  <si>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</si>
  <si>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</si>
  <si>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</si>
  <si>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</si>
  <si>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</si>
  <si>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</si>
  <si>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</si>
  <si>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</si>
  <si>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</si>
  <si>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</si>
  <si>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</si>
  <si>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</si>
  <si>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</si>
  <si>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</si>
  <si>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</si>
  <si>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</si>
  <si>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</si>
  <si>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</si>
  <si>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</si>
  <si>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</si>
  <si>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Sindano Rice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</si>
</sst>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2" fillId="0" borderId="21" xfId="0" applyFont="1" applyBorder="1" applyAlignment="1">
      <alignment horizontal="right" vertical="top"/>
    </xf>
    <xf numFmtId="0" fontId="2" fillId="0" borderId="19" xfId="0" applyFont="1" applyBorder="1"/>
    <xf numFmtId="1" fontId="0" fillId="0" borderId="20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19" xfId="0" applyBorder="1"/>
    <xf numFmtId="0" fontId="0" fillId="0" borderId="23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4" xfId="0" applyFont="1" applyBorder="1" applyAlignment="1">
      <alignment horizontal="left"/>
    </xf>
    <xf numFmtId="0" fontId="2" fillId="0" borderId="25" xfId="0" applyFont="1" applyBorder="1" applyAlignment="1">
      <alignment horizontal="right" vertical="top"/>
    </xf>
    <xf numFmtId="0" fontId="7" fillId="0" borderId="19" xfId="0" applyFont="1" applyFill="1" applyBorder="1"/>
    <xf numFmtId="1" fontId="7" fillId="0" borderId="20" xfId="0" applyNumberFormat="1" applyFont="1" applyBorder="1"/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28" xfId="0" applyFont="1" applyBorder="1" applyAlignment="1">
      <alignment horizontal="left"/>
    </xf>
    <xf numFmtId="0" fontId="5" fillId="0" borderId="29" xfId="0" applyFont="1" applyBorder="1" applyAlignment="1">
      <alignment horizontal="left"/>
    </xf>
    <xf numFmtId="0" fontId="5" fillId="0" borderId="26" xfId="0" applyFont="1" applyBorder="1" applyAlignment="1">
      <alignment horizontal="left"/>
    </xf>
    <xf numFmtId="0" fontId="5" fillId="0" borderId="27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1"/>
  <sheetViews>
    <sheetView tabSelected="1" workbookViewId="0">
      <pane ySplit="2" topLeftCell="A72" activePane="bottomLeft" state="frozen"/>
      <selection pane="bottomLeft" activeCell="A18" sqref="A18:P1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</row>
    <row r="2" spans="1:16" ht="19.5" thickBot="1">
      <c r="A2" s="79" t="s">
        <v>14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</row>
    <row r="3" spans="1:16" ht="15.75">
      <c r="A3" s="80" t="s">
        <v>1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76</v>
      </c>
      <c r="D5" s="8">
        <f>470/B5</f>
        <v>19.583333333333332</v>
      </c>
      <c r="E5" s="4">
        <f>(C5+(F5*B5))-K5</f>
        <v>72</v>
      </c>
      <c r="F5" s="4">
        <f>0+0+2</f>
        <v>2</v>
      </c>
      <c r="G5" s="11">
        <f>E5*D5</f>
        <v>1410</v>
      </c>
      <c r="H5" s="11">
        <f>(E5+K5)*D5</f>
        <v>2428.333333333333</v>
      </c>
      <c r="I5" s="11">
        <v>25</v>
      </c>
      <c r="J5" s="11">
        <f>(I5*E5)</f>
        <v>1800</v>
      </c>
      <c r="K5" s="11">
        <f>0+0+9+3+2+7+1+2+10+9+9</f>
        <v>52</v>
      </c>
      <c r="L5" s="11">
        <f>K5*I5</f>
        <v>1300</v>
      </c>
      <c r="M5" s="11">
        <f>J5+L5</f>
        <v>3100</v>
      </c>
      <c r="N5" s="11">
        <f>M5-H5</f>
        <v>671.66666666666697</v>
      </c>
      <c r="O5" s="11">
        <f>L5</f>
        <v>1300</v>
      </c>
      <c r="P5" s="11"/>
    </row>
    <row r="6" spans="1:16">
      <c r="A6" s="6" t="s">
        <v>8</v>
      </c>
      <c r="B6" s="9">
        <v>24</v>
      </c>
      <c r="C6" s="9">
        <v>81</v>
      </c>
      <c r="D6" s="8">
        <f>800/B6</f>
        <v>33.333333333333336</v>
      </c>
      <c r="E6" s="4">
        <f t="shared" ref="E6:E16" si="0">(C6+(F6*B6))-K6</f>
        <v>65</v>
      </c>
      <c r="F6" s="4">
        <f t="shared" ref="F6:F16" si="1">0+0</f>
        <v>0</v>
      </c>
      <c r="G6" s="11">
        <f t="shared" ref="G6:G16" si="2">E6*D6</f>
        <v>2166.666666666667</v>
      </c>
      <c r="H6" s="11">
        <f t="shared" ref="H6:H16" si="3">(E6+K6)*D6</f>
        <v>2700</v>
      </c>
      <c r="I6" s="11">
        <v>40</v>
      </c>
      <c r="J6" s="11">
        <f t="shared" ref="J6:J16" si="4">(I6*E6)</f>
        <v>2600</v>
      </c>
      <c r="K6" s="11">
        <f>0+0+8+2+3+1+2</f>
        <v>16</v>
      </c>
      <c r="L6" s="11">
        <f t="shared" ref="L6:L17" si="5">K6*I6</f>
        <v>640</v>
      </c>
      <c r="M6" s="11">
        <f t="shared" ref="M6:M16" si="6">J6+L6</f>
        <v>3240</v>
      </c>
      <c r="N6" s="11">
        <f t="shared" ref="N6:N16" si="7">M6-H6</f>
        <v>540</v>
      </c>
      <c r="O6" s="11">
        <f t="shared" ref="O6:O16" si="8">L6</f>
        <v>640</v>
      </c>
      <c r="P6" s="11"/>
    </row>
    <row r="7" spans="1:16">
      <c r="A7" s="7" t="s">
        <v>9</v>
      </c>
      <c r="B7" s="10">
        <v>12</v>
      </c>
      <c r="C7" s="9">
        <v>35</v>
      </c>
      <c r="D7" s="8">
        <f>730/B7</f>
        <v>60.833333333333336</v>
      </c>
      <c r="E7" s="4">
        <f t="shared" si="0"/>
        <v>24</v>
      </c>
      <c r="F7" s="4">
        <f t="shared" si="1"/>
        <v>0</v>
      </c>
      <c r="G7" s="11">
        <f t="shared" si="2"/>
        <v>1460</v>
      </c>
      <c r="H7" s="11">
        <f t="shared" si="3"/>
        <v>2129.166666666667</v>
      </c>
      <c r="I7" s="11">
        <v>70</v>
      </c>
      <c r="J7" s="11">
        <f t="shared" si="4"/>
        <v>1680</v>
      </c>
      <c r="K7" s="11">
        <f>0+0+5+2+1+1+1+1</f>
        <v>11</v>
      </c>
      <c r="L7" s="11">
        <f t="shared" si="5"/>
        <v>770</v>
      </c>
      <c r="M7" s="11">
        <f t="shared" si="6"/>
        <v>2450</v>
      </c>
      <c r="N7" s="11">
        <f t="shared" si="7"/>
        <v>320.83333333333303</v>
      </c>
      <c r="O7" s="11">
        <f t="shared" si="8"/>
        <v>770</v>
      </c>
      <c r="P7" s="11"/>
    </row>
    <row r="8" spans="1:16">
      <c r="A8" s="7" t="s">
        <v>69</v>
      </c>
      <c r="B8" s="10">
        <v>24</v>
      </c>
      <c r="C8" s="9">
        <v>26</v>
      </c>
      <c r="D8" s="8">
        <f>700/24</f>
        <v>29.166666666666668</v>
      </c>
      <c r="E8" s="4">
        <f t="shared" si="0"/>
        <v>11</v>
      </c>
      <c r="F8" s="4">
        <f t="shared" si="1"/>
        <v>0</v>
      </c>
      <c r="G8" s="11">
        <f t="shared" si="2"/>
        <v>320.83333333333337</v>
      </c>
      <c r="H8" s="11">
        <f t="shared" si="3"/>
        <v>758.33333333333337</v>
      </c>
      <c r="I8" s="11">
        <v>40</v>
      </c>
      <c r="J8" s="11">
        <f t="shared" si="4"/>
        <v>440</v>
      </c>
      <c r="K8" s="11">
        <f>0+0+10+1+4</f>
        <v>15</v>
      </c>
      <c r="L8" s="11">
        <f t="shared" si="5"/>
        <v>600</v>
      </c>
      <c r="M8" s="11">
        <f t="shared" si="6"/>
        <v>1040</v>
      </c>
      <c r="N8" s="11">
        <f t="shared" si="7"/>
        <v>281.66666666666663</v>
      </c>
      <c r="O8" s="11">
        <f t="shared" si="8"/>
        <v>600</v>
      </c>
      <c r="P8" s="11"/>
    </row>
    <row r="9" spans="1:16">
      <c r="A9" s="7" t="s">
        <v>10</v>
      </c>
      <c r="B9" s="10">
        <v>24</v>
      </c>
      <c r="C9" s="9">
        <v>16</v>
      </c>
      <c r="D9" s="8">
        <f>1280/B9</f>
        <v>53.333333333333336</v>
      </c>
      <c r="E9" s="4">
        <f t="shared" si="0"/>
        <v>10</v>
      </c>
      <c r="F9" s="4">
        <f t="shared" si="1"/>
        <v>0</v>
      </c>
      <c r="G9" s="11">
        <f t="shared" si="2"/>
        <v>533.33333333333337</v>
      </c>
      <c r="H9" s="11">
        <f t="shared" si="3"/>
        <v>853.33333333333337</v>
      </c>
      <c r="I9" s="11">
        <v>65</v>
      </c>
      <c r="J9" s="11">
        <f t="shared" si="4"/>
        <v>650</v>
      </c>
      <c r="K9" s="11">
        <f>0+0+2+1+1+2</f>
        <v>6</v>
      </c>
      <c r="L9" s="11">
        <f t="shared" si="5"/>
        <v>390</v>
      </c>
      <c r="M9" s="11">
        <f t="shared" si="6"/>
        <v>1040</v>
      </c>
      <c r="N9" s="11">
        <f t="shared" si="7"/>
        <v>186.66666666666663</v>
      </c>
      <c r="O9" s="11">
        <f t="shared" si="8"/>
        <v>390</v>
      </c>
      <c r="P9" s="11"/>
    </row>
    <row r="10" spans="1:16">
      <c r="A10" s="7" t="s">
        <v>70</v>
      </c>
      <c r="B10" s="10">
        <v>12</v>
      </c>
      <c r="C10" s="9">
        <v>39</v>
      </c>
      <c r="D10" s="8">
        <f>980/B10</f>
        <v>81.666666666666671</v>
      </c>
      <c r="E10" s="4">
        <f t="shared" si="0"/>
        <v>26</v>
      </c>
      <c r="F10" s="4">
        <f t="shared" si="1"/>
        <v>0</v>
      </c>
      <c r="G10" s="11">
        <f t="shared" si="2"/>
        <v>2123.3333333333335</v>
      </c>
      <c r="H10" s="11">
        <f t="shared" si="3"/>
        <v>3185</v>
      </c>
      <c r="I10" s="11">
        <v>100</v>
      </c>
      <c r="J10" s="11">
        <f t="shared" si="4"/>
        <v>2600</v>
      </c>
      <c r="K10" s="11">
        <f>0+0+8+1+2+2</f>
        <v>13</v>
      </c>
      <c r="L10" s="11">
        <f t="shared" si="5"/>
        <v>1300</v>
      </c>
      <c r="M10" s="11">
        <f t="shared" si="6"/>
        <v>3900</v>
      </c>
      <c r="N10" s="11">
        <f t="shared" si="7"/>
        <v>715</v>
      </c>
      <c r="O10" s="11">
        <f t="shared" si="8"/>
        <v>1300</v>
      </c>
      <c r="P10" s="11"/>
    </row>
    <row r="11" spans="1:16">
      <c r="A11" s="7" t="s">
        <v>11</v>
      </c>
      <c r="B11" s="10">
        <v>6</v>
      </c>
      <c r="C11" s="9">
        <v>19</v>
      </c>
      <c r="D11" s="8">
        <f>800/B11</f>
        <v>133.33333333333334</v>
      </c>
      <c r="E11" s="4">
        <f t="shared" si="0"/>
        <v>12</v>
      </c>
      <c r="F11" s="4">
        <f t="shared" si="1"/>
        <v>0</v>
      </c>
      <c r="G11" s="11">
        <f t="shared" si="2"/>
        <v>1600</v>
      </c>
      <c r="H11" s="11">
        <f t="shared" si="3"/>
        <v>2533.3333333333335</v>
      </c>
      <c r="I11" s="11">
        <v>150</v>
      </c>
      <c r="J11" s="11">
        <f t="shared" si="4"/>
        <v>1800</v>
      </c>
      <c r="K11" s="11">
        <f>0+0+3+1+2+1</f>
        <v>7</v>
      </c>
      <c r="L11" s="11">
        <f t="shared" si="5"/>
        <v>1050</v>
      </c>
      <c r="M11" s="11">
        <f t="shared" si="6"/>
        <v>2850</v>
      </c>
      <c r="N11" s="11">
        <f t="shared" si="7"/>
        <v>316.66666666666652</v>
      </c>
      <c r="O11" s="11">
        <f t="shared" si="8"/>
        <v>1050</v>
      </c>
      <c r="P11" s="11"/>
    </row>
    <row r="12" spans="1:16">
      <c r="A12" s="61" t="s">
        <v>72</v>
      </c>
      <c r="B12" s="62">
        <v>12</v>
      </c>
      <c r="C12" s="9">
        <v>12</v>
      </c>
      <c r="D12" s="63">
        <f>600/12</f>
        <v>50</v>
      </c>
      <c r="E12" s="4">
        <f t="shared" si="0"/>
        <v>2</v>
      </c>
      <c r="F12" s="4">
        <f t="shared" si="1"/>
        <v>0</v>
      </c>
      <c r="G12" s="11">
        <f t="shared" si="2"/>
        <v>100</v>
      </c>
      <c r="H12" s="11">
        <f t="shared" si="3"/>
        <v>600</v>
      </c>
      <c r="I12" s="64">
        <v>60</v>
      </c>
      <c r="J12" s="64">
        <f t="shared" si="4"/>
        <v>120</v>
      </c>
      <c r="K12" s="11">
        <f>0+0+2+2+1+5</f>
        <v>10</v>
      </c>
      <c r="L12" s="11">
        <f t="shared" si="5"/>
        <v>600</v>
      </c>
      <c r="M12" s="11">
        <f t="shared" si="6"/>
        <v>720</v>
      </c>
      <c r="N12" s="11">
        <f t="shared" si="7"/>
        <v>120</v>
      </c>
      <c r="O12" s="11">
        <f t="shared" si="8"/>
        <v>600</v>
      </c>
      <c r="P12" s="64"/>
    </row>
    <row r="13" spans="1:16">
      <c r="A13" s="61" t="s">
        <v>71</v>
      </c>
      <c r="B13" s="62">
        <v>12</v>
      </c>
      <c r="C13" s="9">
        <v>14</v>
      </c>
      <c r="D13" s="63">
        <f>570/12</f>
        <v>47.5</v>
      </c>
      <c r="E13" s="4">
        <f t="shared" si="0"/>
        <v>10</v>
      </c>
      <c r="F13" s="4">
        <f t="shared" si="1"/>
        <v>0</v>
      </c>
      <c r="G13" s="11">
        <f t="shared" si="2"/>
        <v>475</v>
      </c>
      <c r="H13" s="11">
        <f t="shared" si="3"/>
        <v>665</v>
      </c>
      <c r="I13" s="64">
        <v>60</v>
      </c>
      <c r="J13" s="64">
        <f t="shared" si="4"/>
        <v>600</v>
      </c>
      <c r="K13" s="11">
        <f>0+0+1+2+1</f>
        <v>4</v>
      </c>
      <c r="L13" s="11">
        <f t="shared" si="5"/>
        <v>240</v>
      </c>
      <c r="M13" s="11">
        <f t="shared" si="6"/>
        <v>840</v>
      </c>
      <c r="N13" s="11">
        <f t="shared" si="7"/>
        <v>175</v>
      </c>
      <c r="O13" s="11">
        <f t="shared" si="8"/>
        <v>240</v>
      </c>
      <c r="P13" s="64"/>
    </row>
    <row r="14" spans="1:16">
      <c r="A14" s="61" t="s">
        <v>83</v>
      </c>
      <c r="B14" s="62">
        <v>12</v>
      </c>
      <c r="C14" s="9">
        <v>8</v>
      </c>
      <c r="D14" s="63">
        <f>570/12</f>
        <v>47.5</v>
      </c>
      <c r="E14" s="4">
        <f>(C14+(F14*B14))-K14</f>
        <v>5</v>
      </c>
      <c r="F14" s="4">
        <f t="shared" si="1"/>
        <v>0</v>
      </c>
      <c r="G14" s="11">
        <f t="shared" si="2"/>
        <v>237.5</v>
      </c>
      <c r="H14" s="11">
        <f t="shared" si="3"/>
        <v>380</v>
      </c>
      <c r="I14" s="64">
        <v>60</v>
      </c>
      <c r="J14" s="64">
        <f t="shared" si="4"/>
        <v>300</v>
      </c>
      <c r="K14" s="11">
        <f>0+0+1+2</f>
        <v>3</v>
      </c>
      <c r="L14" s="11">
        <f t="shared" si="5"/>
        <v>180</v>
      </c>
      <c r="M14" s="11">
        <f t="shared" si="6"/>
        <v>480</v>
      </c>
      <c r="N14" s="11">
        <f t="shared" si="7"/>
        <v>100</v>
      </c>
      <c r="O14" s="11">
        <f t="shared" si="8"/>
        <v>180</v>
      </c>
      <c r="P14" s="64"/>
    </row>
    <row r="15" spans="1:16">
      <c r="A15" s="61" t="s">
        <v>84</v>
      </c>
      <c r="B15" s="62">
        <v>24</v>
      </c>
      <c r="C15" s="9">
        <v>20</v>
      </c>
      <c r="D15" s="63">
        <f>480/24</f>
        <v>20</v>
      </c>
      <c r="E15" s="4">
        <f t="shared" si="0"/>
        <v>13</v>
      </c>
      <c r="F15" s="4">
        <f t="shared" si="1"/>
        <v>0</v>
      </c>
      <c r="G15" s="11">
        <f t="shared" si="2"/>
        <v>260</v>
      </c>
      <c r="H15" s="11">
        <f t="shared" si="3"/>
        <v>400</v>
      </c>
      <c r="I15" s="64">
        <v>30</v>
      </c>
      <c r="J15" s="64">
        <f t="shared" si="4"/>
        <v>390</v>
      </c>
      <c r="K15" s="11">
        <f>0+0+1+1+2+1+1+1</f>
        <v>7</v>
      </c>
      <c r="L15" s="11">
        <f t="shared" si="5"/>
        <v>210</v>
      </c>
      <c r="M15" s="11">
        <f t="shared" si="6"/>
        <v>600</v>
      </c>
      <c r="N15" s="11">
        <f t="shared" si="7"/>
        <v>200</v>
      </c>
      <c r="O15" s="11">
        <f t="shared" si="8"/>
        <v>210</v>
      </c>
      <c r="P15" s="64"/>
    </row>
    <row r="16" spans="1:16">
      <c r="A16" s="61" t="s">
        <v>94</v>
      </c>
      <c r="B16" s="62">
        <v>24</v>
      </c>
      <c r="C16" s="9">
        <v>96</v>
      </c>
      <c r="D16" s="63">
        <v>13.75</v>
      </c>
      <c r="E16" s="4">
        <f t="shared" si="0"/>
        <v>60</v>
      </c>
      <c r="F16" s="4">
        <f t="shared" si="1"/>
        <v>0</v>
      </c>
      <c r="G16" s="11">
        <f t="shared" si="2"/>
        <v>825</v>
      </c>
      <c r="H16" s="11">
        <f t="shared" si="3"/>
        <v>1320</v>
      </c>
      <c r="I16" s="64">
        <v>20</v>
      </c>
      <c r="J16" s="64">
        <f t="shared" si="4"/>
        <v>1200</v>
      </c>
      <c r="K16" s="11">
        <f>0+0+17+1+1+2+4+3+3+2+3</f>
        <v>36</v>
      </c>
      <c r="L16" s="11">
        <f t="shared" si="5"/>
        <v>720</v>
      </c>
      <c r="M16" s="11">
        <f t="shared" si="6"/>
        <v>1920</v>
      </c>
      <c r="N16" s="11">
        <f t="shared" si="7"/>
        <v>600</v>
      </c>
      <c r="O16" s="11">
        <f t="shared" si="8"/>
        <v>720</v>
      </c>
      <c r="P16" s="64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10686.666666666666</v>
      </c>
      <c r="H17" s="17">
        <f>SUM(H5:H15)</f>
        <v>16632.5</v>
      </c>
      <c r="I17" s="17"/>
      <c r="J17" s="17">
        <f>SUM(J5:J15)</f>
        <v>12980</v>
      </c>
      <c r="K17" s="11"/>
      <c r="L17" s="11">
        <f t="shared" si="5"/>
        <v>0</v>
      </c>
      <c r="M17" s="18">
        <f>SUM(M5:M15)</f>
        <v>20260</v>
      </c>
      <c r="N17" s="18">
        <f>SUM(N5:N15)</f>
        <v>3627.4999999999995</v>
      </c>
      <c r="O17" s="18">
        <f>SUM(O5:O15)-P17</f>
        <v>0</v>
      </c>
      <c r="P17" s="17">
        <f>0+0+2755+405+270+525+600+450+415+225+1135+500</f>
        <v>7280</v>
      </c>
    </row>
    <row r="18" spans="1:16" ht="16.5" thickTop="1">
      <c r="A18" s="80" t="s">
        <v>13</v>
      </c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1:16">
      <c r="A19" s="3" t="s">
        <v>2</v>
      </c>
      <c r="B19" s="35" t="s">
        <v>19</v>
      </c>
      <c r="C19" s="35" t="s">
        <v>23</v>
      </c>
      <c r="D19" s="36" t="s">
        <v>74</v>
      </c>
      <c r="E19" s="36" t="s">
        <v>6</v>
      </c>
      <c r="F19" s="36" t="s">
        <v>3</v>
      </c>
      <c r="G19" s="36" t="s">
        <v>50</v>
      </c>
      <c r="H19" s="36" t="s">
        <v>51</v>
      </c>
      <c r="I19" s="36" t="s">
        <v>55</v>
      </c>
      <c r="J19" s="36" t="s">
        <v>15</v>
      </c>
      <c r="K19" s="36" t="s">
        <v>37</v>
      </c>
      <c r="L19" s="36" t="s">
        <v>38</v>
      </c>
      <c r="M19" s="36" t="s">
        <v>53</v>
      </c>
      <c r="N19" s="36" t="s">
        <v>54</v>
      </c>
      <c r="O19" s="36" t="s">
        <v>16</v>
      </c>
      <c r="P19" s="36" t="s">
        <v>4</v>
      </c>
    </row>
    <row r="20" spans="1:16">
      <c r="A20" s="12" t="s">
        <v>82</v>
      </c>
      <c r="B20" s="12">
        <v>24</v>
      </c>
      <c r="C20" s="12">
        <v>14</v>
      </c>
      <c r="D20" s="8">
        <f>972/24</f>
        <v>40.5</v>
      </c>
      <c r="E20" s="4">
        <f>(C20+(F20*B20))-K20</f>
        <v>5</v>
      </c>
      <c r="F20" s="4">
        <f>0+0</f>
        <v>0</v>
      </c>
      <c r="G20" s="11">
        <f>E20*D20</f>
        <v>202.5</v>
      </c>
      <c r="H20" s="11">
        <f>(E20+K20)*D20</f>
        <v>567</v>
      </c>
      <c r="I20" s="4">
        <v>50</v>
      </c>
      <c r="J20" s="11">
        <f>(I20*E20)</f>
        <v>250</v>
      </c>
      <c r="K20" s="11">
        <f>0+0+4+1+2+1+1</f>
        <v>9</v>
      </c>
      <c r="L20" s="11">
        <f>K20*I20</f>
        <v>450</v>
      </c>
      <c r="M20" s="11">
        <f>J20+L20</f>
        <v>700</v>
      </c>
      <c r="N20" s="11">
        <f>M20-H20</f>
        <v>133</v>
      </c>
      <c r="O20" s="11">
        <f>L20</f>
        <v>450</v>
      </c>
      <c r="P20" s="4"/>
    </row>
    <row r="21" spans="1:16">
      <c r="A21" s="12" t="s">
        <v>88</v>
      </c>
      <c r="B21" s="5">
        <v>24</v>
      </c>
      <c r="C21" s="12">
        <v>21</v>
      </c>
      <c r="D21" s="8">
        <f>940/24</f>
        <v>39.166666666666664</v>
      </c>
      <c r="E21" s="4">
        <f t="shared" ref="E21:E30" si="9">(C21+(F21*B21))-K21</f>
        <v>12</v>
      </c>
      <c r="F21" s="4">
        <f>0+0</f>
        <v>0</v>
      </c>
      <c r="G21" s="11">
        <f t="shared" ref="G21:G30" si="10">E21*D21</f>
        <v>470</v>
      </c>
      <c r="H21" s="11">
        <f t="shared" ref="H21:H30" si="11">(E21+K21)*D21</f>
        <v>822.5</v>
      </c>
      <c r="I21" s="4">
        <v>50</v>
      </c>
      <c r="J21" s="11">
        <f t="shared" ref="J21:J30" si="12">(I21*E21)</f>
        <v>600</v>
      </c>
      <c r="K21" s="11">
        <f>0+0+5+1+3</f>
        <v>9</v>
      </c>
      <c r="L21" s="11">
        <f t="shared" ref="L21:L29" si="13">K21*I21</f>
        <v>450</v>
      </c>
      <c r="M21" s="11">
        <f t="shared" ref="M21:M30" si="14">J21+L21</f>
        <v>1050</v>
      </c>
      <c r="N21" s="11">
        <f t="shared" ref="N21:N30" si="15">M21-H21</f>
        <v>227.5</v>
      </c>
      <c r="O21" s="11">
        <f t="shared" ref="O21:O30" si="16">L21</f>
        <v>450</v>
      </c>
      <c r="P21" s="4"/>
    </row>
    <row r="22" spans="1:16">
      <c r="A22" s="12" t="s">
        <v>91</v>
      </c>
      <c r="B22" s="5">
        <v>24</v>
      </c>
      <c r="C22" s="12">
        <v>5</v>
      </c>
      <c r="D22" s="4">
        <f>1080/24</f>
        <v>45</v>
      </c>
      <c r="E22" s="4">
        <f t="shared" si="9"/>
        <v>3</v>
      </c>
      <c r="F22" s="4">
        <f t="shared" ref="F22:F30" si="17">0+0</f>
        <v>0</v>
      </c>
      <c r="G22" s="11">
        <f t="shared" si="10"/>
        <v>135</v>
      </c>
      <c r="H22" s="11">
        <f t="shared" si="11"/>
        <v>225</v>
      </c>
      <c r="I22" s="4">
        <v>50</v>
      </c>
      <c r="J22" s="11">
        <f t="shared" si="12"/>
        <v>150</v>
      </c>
      <c r="K22" s="11">
        <f>0+0+1+1</f>
        <v>2</v>
      </c>
      <c r="L22" s="11">
        <f t="shared" si="13"/>
        <v>100</v>
      </c>
      <c r="M22" s="11">
        <f t="shared" si="14"/>
        <v>250</v>
      </c>
      <c r="N22" s="11">
        <f t="shared" si="15"/>
        <v>25</v>
      </c>
      <c r="O22" s="11">
        <f t="shared" si="16"/>
        <v>100</v>
      </c>
      <c r="P22" s="4"/>
    </row>
    <row r="23" spans="1:16">
      <c r="A23" s="12" t="s">
        <v>17</v>
      </c>
      <c r="B23" s="13">
        <v>12</v>
      </c>
      <c r="C23" s="12">
        <v>0</v>
      </c>
      <c r="D23" s="4">
        <f>1160/12</f>
        <v>96.666666666666671</v>
      </c>
      <c r="E23" s="4">
        <f t="shared" si="9"/>
        <v>10</v>
      </c>
      <c r="F23" s="4">
        <f>0+0+1</f>
        <v>1</v>
      </c>
      <c r="G23" s="11">
        <f t="shared" si="10"/>
        <v>966.66666666666674</v>
      </c>
      <c r="H23" s="11">
        <f t="shared" si="11"/>
        <v>1160</v>
      </c>
      <c r="I23" s="4">
        <v>110</v>
      </c>
      <c r="J23" s="11">
        <f t="shared" si="12"/>
        <v>1100</v>
      </c>
      <c r="K23" s="11">
        <f>0+0+1+1</f>
        <v>2</v>
      </c>
      <c r="L23" s="11">
        <f t="shared" si="13"/>
        <v>220</v>
      </c>
      <c r="M23" s="11">
        <f t="shared" si="14"/>
        <v>1320</v>
      </c>
      <c r="N23" s="11">
        <f t="shared" si="15"/>
        <v>160</v>
      </c>
      <c r="O23" s="11">
        <f t="shared" si="16"/>
        <v>220</v>
      </c>
      <c r="P23" s="4"/>
    </row>
    <row r="24" spans="1:16">
      <c r="A24" s="12" t="s">
        <v>18</v>
      </c>
      <c r="B24" s="13">
        <v>12</v>
      </c>
      <c r="C24" s="12">
        <v>5</v>
      </c>
      <c r="D24" s="4">
        <f>1180/12</f>
        <v>98.333333333333329</v>
      </c>
      <c r="E24" s="4">
        <f t="shared" si="9"/>
        <v>0</v>
      </c>
      <c r="F24" s="4">
        <f t="shared" si="17"/>
        <v>0</v>
      </c>
      <c r="G24" s="11">
        <f t="shared" si="10"/>
        <v>0</v>
      </c>
      <c r="H24" s="11">
        <f t="shared" si="11"/>
        <v>491.66666666666663</v>
      </c>
      <c r="I24" s="4">
        <v>110</v>
      </c>
      <c r="J24" s="11">
        <f t="shared" si="12"/>
        <v>0</v>
      </c>
      <c r="K24" s="11">
        <f>0+0+2+1+2</f>
        <v>5</v>
      </c>
      <c r="L24" s="11">
        <f t="shared" si="13"/>
        <v>550</v>
      </c>
      <c r="M24" s="11">
        <f t="shared" si="14"/>
        <v>550</v>
      </c>
      <c r="N24" s="11">
        <f t="shared" si="15"/>
        <v>58.333333333333371</v>
      </c>
      <c r="O24" s="11">
        <f t="shared" si="16"/>
        <v>550</v>
      </c>
      <c r="P24" s="4"/>
    </row>
    <row r="25" spans="1:16">
      <c r="A25" s="12" t="s">
        <v>20</v>
      </c>
      <c r="B25" s="13">
        <v>24</v>
      </c>
      <c r="C25" s="12">
        <v>24</v>
      </c>
      <c r="D25" s="4">
        <f>1200/24</f>
        <v>50</v>
      </c>
      <c r="E25" s="4">
        <f t="shared" si="9"/>
        <v>22</v>
      </c>
      <c r="F25" s="4">
        <f>0+0</f>
        <v>0</v>
      </c>
      <c r="G25" s="11">
        <f t="shared" si="10"/>
        <v>1100</v>
      </c>
      <c r="H25" s="11">
        <f t="shared" si="11"/>
        <v>1200</v>
      </c>
      <c r="I25" s="4">
        <v>60</v>
      </c>
      <c r="J25" s="11">
        <f t="shared" si="12"/>
        <v>1320</v>
      </c>
      <c r="K25" s="11">
        <f>0+0+1+1</f>
        <v>2</v>
      </c>
      <c r="L25" s="11">
        <f t="shared" si="13"/>
        <v>120</v>
      </c>
      <c r="M25" s="11">
        <f t="shared" si="14"/>
        <v>1440</v>
      </c>
      <c r="N25" s="11">
        <f t="shared" si="15"/>
        <v>240</v>
      </c>
      <c r="O25" s="11">
        <f t="shared" si="16"/>
        <v>120</v>
      </c>
      <c r="P25" s="4"/>
    </row>
    <row r="26" spans="1:16">
      <c r="A26" s="12" t="s">
        <v>21</v>
      </c>
      <c r="B26" s="13">
        <v>12</v>
      </c>
      <c r="C26" s="12">
        <v>10</v>
      </c>
      <c r="D26" s="4">
        <f>1180/12</f>
        <v>98.333333333333329</v>
      </c>
      <c r="E26" s="4">
        <f t="shared" si="9"/>
        <v>5</v>
      </c>
      <c r="F26" s="4">
        <f t="shared" si="17"/>
        <v>0</v>
      </c>
      <c r="G26" s="11">
        <f>E26*D26</f>
        <v>491.66666666666663</v>
      </c>
      <c r="H26" s="11">
        <f t="shared" si="11"/>
        <v>983.33333333333326</v>
      </c>
      <c r="I26" s="4">
        <v>110</v>
      </c>
      <c r="J26" s="11">
        <f t="shared" si="12"/>
        <v>550</v>
      </c>
      <c r="K26" s="11">
        <f>0+0+2+1+1+1</f>
        <v>5</v>
      </c>
      <c r="L26" s="11">
        <f t="shared" si="13"/>
        <v>550</v>
      </c>
      <c r="M26" s="11">
        <f t="shared" si="14"/>
        <v>1100</v>
      </c>
      <c r="N26" s="11">
        <f t="shared" si="15"/>
        <v>116.66666666666674</v>
      </c>
      <c r="O26" s="11">
        <f t="shared" si="16"/>
        <v>550</v>
      </c>
      <c r="P26" s="4"/>
    </row>
    <row r="27" spans="1:16">
      <c r="A27" s="12" t="s">
        <v>22</v>
      </c>
      <c r="B27" s="13">
        <v>24</v>
      </c>
      <c r="C27" s="12">
        <v>0</v>
      </c>
      <c r="D27" s="4">
        <f>1200/24</f>
        <v>50</v>
      </c>
      <c r="E27" s="4">
        <f t="shared" si="9"/>
        <v>0</v>
      </c>
      <c r="F27" s="4">
        <f t="shared" si="17"/>
        <v>0</v>
      </c>
      <c r="G27" s="11">
        <f t="shared" si="10"/>
        <v>0</v>
      </c>
      <c r="H27" s="11">
        <f t="shared" si="11"/>
        <v>0</v>
      </c>
      <c r="I27" s="4">
        <v>60</v>
      </c>
      <c r="J27" s="11">
        <f t="shared" si="12"/>
        <v>0</v>
      </c>
      <c r="K27" s="11">
        <f t="shared" ref="K27:K31" si="18">0+0</f>
        <v>0</v>
      </c>
      <c r="L27" s="11">
        <f t="shared" si="13"/>
        <v>0</v>
      </c>
      <c r="M27" s="11">
        <f t="shared" si="14"/>
        <v>0</v>
      </c>
      <c r="N27" s="11">
        <f t="shared" si="15"/>
        <v>0</v>
      </c>
      <c r="O27" s="11">
        <f t="shared" si="16"/>
        <v>0</v>
      </c>
      <c r="P27" s="4"/>
    </row>
    <row r="28" spans="1:16">
      <c r="A28" s="12" t="s">
        <v>24</v>
      </c>
      <c r="B28" s="13">
        <v>12</v>
      </c>
      <c r="C28" s="12">
        <v>7</v>
      </c>
      <c r="D28" s="4">
        <f>1240/12</f>
        <v>103.33333333333333</v>
      </c>
      <c r="E28" s="4">
        <f t="shared" si="9"/>
        <v>6</v>
      </c>
      <c r="F28" s="4">
        <f t="shared" si="17"/>
        <v>0</v>
      </c>
      <c r="G28" s="11">
        <f t="shared" si="10"/>
        <v>620</v>
      </c>
      <c r="H28" s="11">
        <f t="shared" si="11"/>
        <v>723.33333333333326</v>
      </c>
      <c r="I28" s="4">
        <v>125</v>
      </c>
      <c r="J28" s="11">
        <f t="shared" si="12"/>
        <v>750</v>
      </c>
      <c r="K28" s="11">
        <f>0+0+1</f>
        <v>1</v>
      </c>
      <c r="L28" s="11">
        <f t="shared" si="13"/>
        <v>125</v>
      </c>
      <c r="M28" s="11">
        <f t="shared" si="14"/>
        <v>875</v>
      </c>
      <c r="N28" s="11">
        <f t="shared" si="15"/>
        <v>151.66666666666674</v>
      </c>
      <c r="O28" s="11">
        <f t="shared" si="16"/>
        <v>125</v>
      </c>
      <c r="P28" s="4"/>
    </row>
    <row r="29" spans="1:16">
      <c r="A29" s="12" t="s">
        <v>93</v>
      </c>
      <c r="B29" s="13">
        <v>12</v>
      </c>
      <c r="C29" s="12">
        <v>8</v>
      </c>
      <c r="D29" s="4">
        <f>1100/12</f>
        <v>91.666666666666671</v>
      </c>
      <c r="E29" s="4">
        <f t="shared" si="9"/>
        <v>6</v>
      </c>
      <c r="F29" s="4">
        <f t="shared" si="17"/>
        <v>0</v>
      </c>
      <c r="G29" s="11">
        <f t="shared" si="10"/>
        <v>550</v>
      </c>
      <c r="H29" s="11">
        <f t="shared" si="11"/>
        <v>733.33333333333337</v>
      </c>
      <c r="I29" s="4">
        <v>110</v>
      </c>
      <c r="J29" s="11">
        <f t="shared" si="12"/>
        <v>660</v>
      </c>
      <c r="K29" s="11">
        <f>0+0+1+1</f>
        <v>2</v>
      </c>
      <c r="L29" s="11">
        <f t="shared" si="13"/>
        <v>220</v>
      </c>
      <c r="M29" s="11">
        <f t="shared" si="14"/>
        <v>880</v>
      </c>
      <c r="N29" s="11">
        <f t="shared" si="15"/>
        <v>146.66666666666663</v>
      </c>
      <c r="O29" s="11">
        <f t="shared" si="16"/>
        <v>220</v>
      </c>
      <c r="P29" s="4"/>
    </row>
    <row r="30" spans="1:16" ht="17.25" customHeight="1">
      <c r="A30" s="12" t="s">
        <v>25</v>
      </c>
      <c r="B30" s="13">
        <v>12</v>
      </c>
      <c r="C30" s="12">
        <v>0</v>
      </c>
      <c r="D30" s="4"/>
      <c r="E30" s="4">
        <f t="shared" si="9"/>
        <v>0</v>
      </c>
      <c r="F30" s="4">
        <f t="shared" si="17"/>
        <v>0</v>
      </c>
      <c r="G30" s="11">
        <f t="shared" si="10"/>
        <v>0</v>
      </c>
      <c r="H30" s="11">
        <f t="shared" si="11"/>
        <v>0</v>
      </c>
      <c r="I30" s="4"/>
      <c r="J30" s="11">
        <f t="shared" si="12"/>
        <v>0</v>
      </c>
      <c r="K30" s="11">
        <f t="shared" si="18"/>
        <v>0</v>
      </c>
      <c r="L30" s="11">
        <f>K30*I30</f>
        <v>0</v>
      </c>
      <c r="M30" s="11">
        <f t="shared" si="14"/>
        <v>0</v>
      </c>
      <c r="N30" s="11">
        <f t="shared" si="15"/>
        <v>0</v>
      </c>
      <c r="O30" s="11">
        <f t="shared" si="16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4535.8333333333339</v>
      </c>
      <c r="H31" s="17">
        <f>SUM(H20:H30)</f>
        <v>6906.1666666666652</v>
      </c>
      <c r="I31" s="16"/>
      <c r="J31" s="17">
        <f>SUM(J20:J30)</f>
        <v>5380</v>
      </c>
      <c r="K31" s="11">
        <f t="shared" si="18"/>
        <v>0</v>
      </c>
      <c r="L31" s="18">
        <f>SUM(L20:L30)</f>
        <v>2785</v>
      </c>
      <c r="M31" s="21">
        <f>SUM(M20:M30)</f>
        <v>8165</v>
      </c>
      <c r="N31" s="21">
        <f>SUM(N20:N30)</f>
        <v>1258.8333333333335</v>
      </c>
      <c r="O31" s="18">
        <f>SUM(O20:O30)-P31</f>
        <v>0</v>
      </c>
      <c r="P31" s="17">
        <f>0+0+1000+60+50+285+210+160+590+130+300</f>
        <v>2785</v>
      </c>
    </row>
    <row r="32" spans="1:16" ht="16.5" thickTop="1">
      <c r="A32" s="80" t="s">
        <v>90</v>
      </c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1:16">
      <c r="A33" s="3" t="s">
        <v>2</v>
      </c>
      <c r="B33" s="35" t="s">
        <v>19</v>
      </c>
      <c r="C33" s="35" t="s">
        <v>23</v>
      </c>
      <c r="D33" s="36" t="s">
        <v>74</v>
      </c>
      <c r="E33" s="36" t="s">
        <v>6</v>
      </c>
      <c r="F33" s="36" t="s">
        <v>3</v>
      </c>
      <c r="G33" s="36" t="s">
        <v>50</v>
      </c>
      <c r="H33" s="36" t="s">
        <v>51</v>
      </c>
      <c r="I33" s="36" t="s">
        <v>55</v>
      </c>
      <c r="J33" s="36" t="s">
        <v>15</v>
      </c>
      <c r="K33" s="36" t="s">
        <v>37</v>
      </c>
      <c r="L33" s="36" t="s">
        <v>38</v>
      </c>
      <c r="M33" s="36" t="s">
        <v>53</v>
      </c>
      <c r="N33" s="36" t="s">
        <v>54</v>
      </c>
      <c r="O33" s="36" t="s">
        <v>16</v>
      </c>
      <c r="P33" s="36" t="s">
        <v>4</v>
      </c>
    </row>
    <row r="34" spans="1:16">
      <c r="A34" s="12" t="s">
        <v>89</v>
      </c>
      <c r="B34" s="13">
        <v>30</v>
      </c>
      <c r="C34" s="5">
        <v>13</v>
      </c>
      <c r="D34" s="4">
        <f>2625/25</f>
        <v>105</v>
      </c>
      <c r="E34" s="4">
        <f t="shared" ref="E34:E39" si="19">(C34+(F34*B34))-K34</f>
        <v>21</v>
      </c>
      <c r="F34" s="4">
        <f>0+0+1</f>
        <v>1</v>
      </c>
      <c r="G34" s="11">
        <f>E34*D34</f>
        <v>2205</v>
      </c>
      <c r="H34" s="11">
        <f>(E34+K34)*D34</f>
        <v>4515</v>
      </c>
      <c r="I34" s="4">
        <v>140</v>
      </c>
      <c r="J34" s="11">
        <f t="shared" ref="J34:J40" si="20">(I34*E34)</f>
        <v>2940</v>
      </c>
      <c r="K34" s="11">
        <f>0+0+4+5+4+4+4+1</f>
        <v>22</v>
      </c>
      <c r="L34" s="11">
        <f>K34*I34</f>
        <v>3080</v>
      </c>
      <c r="M34" s="11">
        <f t="shared" ref="M34:M40" si="21">J34+L34</f>
        <v>6020</v>
      </c>
      <c r="N34" s="11">
        <f t="shared" ref="N34:N40" si="22">M34-H34</f>
        <v>1505</v>
      </c>
      <c r="O34" s="11">
        <f t="shared" ref="O34:O40" si="23">L34</f>
        <v>3080</v>
      </c>
      <c r="P34" s="4"/>
    </row>
    <row r="35" spans="1:16">
      <c r="A35" s="12" t="s">
        <v>26</v>
      </c>
      <c r="B35" s="13">
        <v>24</v>
      </c>
      <c r="C35" s="5">
        <v>0</v>
      </c>
      <c r="D35" s="4"/>
      <c r="E35" s="4">
        <f t="shared" si="19"/>
        <v>0</v>
      </c>
      <c r="F35" s="4">
        <f t="shared" ref="F35:F40" si="24">0+0</f>
        <v>0</v>
      </c>
      <c r="G35" s="11">
        <f t="shared" ref="G35:G40" si="25">E35*D35</f>
        <v>0</v>
      </c>
      <c r="H35" s="11">
        <f t="shared" ref="H35:H40" si="26">(E35+K35)*D35</f>
        <v>0</v>
      </c>
      <c r="I35" s="4"/>
      <c r="J35" s="11">
        <f t="shared" si="20"/>
        <v>0</v>
      </c>
      <c r="K35" s="11">
        <f t="shared" ref="K35:K40" si="27">0+0</f>
        <v>0</v>
      </c>
      <c r="L35" s="11">
        <f t="shared" ref="L35:L40" si="28">K35*I35</f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95</v>
      </c>
      <c r="B36" s="12">
        <v>25</v>
      </c>
      <c r="C36" s="12">
        <v>0</v>
      </c>
      <c r="D36" s="12">
        <f>1800/25</f>
        <v>72</v>
      </c>
      <c r="E36" s="4">
        <f t="shared" si="19"/>
        <v>50</v>
      </c>
      <c r="F36" s="12">
        <f>0+0+2</f>
        <v>2</v>
      </c>
      <c r="G36" s="11">
        <f t="shared" si="25"/>
        <v>3600</v>
      </c>
      <c r="H36" s="11">
        <f t="shared" si="26"/>
        <v>3600</v>
      </c>
      <c r="I36" s="12">
        <v>100</v>
      </c>
      <c r="J36" s="11">
        <f t="shared" si="20"/>
        <v>5000</v>
      </c>
      <c r="K36" s="12">
        <f>0+0</f>
        <v>0</v>
      </c>
      <c r="L36" s="11">
        <f t="shared" si="28"/>
        <v>0</v>
      </c>
      <c r="M36" s="11">
        <f t="shared" si="21"/>
        <v>5000</v>
      </c>
      <c r="N36" s="11">
        <f t="shared" si="22"/>
        <v>1400</v>
      </c>
      <c r="O36" s="11">
        <f t="shared" si="23"/>
        <v>0</v>
      </c>
      <c r="P36" s="12"/>
    </row>
    <row r="37" spans="1:16">
      <c r="A37" s="12" t="s">
        <v>27</v>
      </c>
      <c r="B37" s="13">
        <v>12</v>
      </c>
      <c r="C37" s="5">
        <v>4</v>
      </c>
      <c r="D37" s="4">
        <f>1415/12</f>
        <v>117.91666666666667</v>
      </c>
      <c r="E37" s="4">
        <f t="shared" si="19"/>
        <v>24</v>
      </c>
      <c r="F37" s="4">
        <f>0+0+2</f>
        <v>2</v>
      </c>
      <c r="G37" s="11">
        <f t="shared" si="25"/>
        <v>2830</v>
      </c>
      <c r="H37" s="11">
        <f t="shared" si="26"/>
        <v>3301.666666666667</v>
      </c>
      <c r="I37" s="4">
        <v>125</v>
      </c>
      <c r="J37" s="11">
        <f t="shared" si="20"/>
        <v>3000</v>
      </c>
      <c r="K37" s="11">
        <f>0+0+1+2+1</f>
        <v>4</v>
      </c>
      <c r="L37" s="11">
        <f>K37*I37</f>
        <v>500</v>
      </c>
      <c r="M37" s="11">
        <f t="shared" si="21"/>
        <v>3500</v>
      </c>
      <c r="N37" s="11">
        <f t="shared" si="22"/>
        <v>198.33333333333303</v>
      </c>
      <c r="O37" s="11">
        <f t="shared" si="23"/>
        <v>500</v>
      </c>
      <c r="P37" s="4"/>
    </row>
    <row r="38" spans="1:16">
      <c r="A38" s="12" t="s">
        <v>28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si="27"/>
        <v>0</v>
      </c>
      <c r="L38" s="11">
        <f t="shared" si="28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>
      <c r="A39" s="12" t="s">
        <v>29</v>
      </c>
      <c r="B39" s="13">
        <v>12</v>
      </c>
      <c r="C39" s="5">
        <v>9</v>
      </c>
      <c r="D39" s="4">
        <f>1385/12</f>
        <v>115.41666666666667</v>
      </c>
      <c r="E39" s="4">
        <f t="shared" si="19"/>
        <v>6</v>
      </c>
      <c r="F39" s="4">
        <f t="shared" si="24"/>
        <v>0</v>
      </c>
      <c r="G39" s="11">
        <f t="shared" si="25"/>
        <v>692.5</v>
      </c>
      <c r="H39" s="11">
        <f t="shared" si="26"/>
        <v>1038.75</v>
      </c>
      <c r="I39" s="4">
        <v>127</v>
      </c>
      <c r="J39" s="11">
        <f t="shared" si="20"/>
        <v>762</v>
      </c>
      <c r="K39" s="11">
        <f>0+0+3</f>
        <v>3</v>
      </c>
      <c r="L39" s="11">
        <f t="shared" si="28"/>
        <v>381</v>
      </c>
      <c r="M39" s="11">
        <f t="shared" si="21"/>
        <v>1143</v>
      </c>
      <c r="N39" s="11">
        <f t="shared" si="22"/>
        <v>104.25</v>
      </c>
      <c r="O39" s="11">
        <f t="shared" si="23"/>
        <v>381</v>
      </c>
      <c r="P39" s="4"/>
    </row>
    <row r="40" spans="1:16">
      <c r="A40" s="12" t="s">
        <v>30</v>
      </c>
      <c r="B40" s="13">
        <v>24</v>
      </c>
      <c r="C40" s="5">
        <v>11</v>
      </c>
      <c r="D40" s="4">
        <f>1400/24</f>
        <v>58.333333333333336</v>
      </c>
      <c r="E40" s="4">
        <f>(C40+(F40*B40))-K40</f>
        <v>11</v>
      </c>
      <c r="F40" s="4">
        <f t="shared" si="24"/>
        <v>0</v>
      </c>
      <c r="G40" s="11">
        <f t="shared" si="25"/>
        <v>641.66666666666674</v>
      </c>
      <c r="H40" s="11">
        <f t="shared" si="26"/>
        <v>641.66666666666674</v>
      </c>
      <c r="I40" s="4">
        <v>70</v>
      </c>
      <c r="J40" s="11">
        <f t="shared" si="20"/>
        <v>770</v>
      </c>
      <c r="K40" s="11">
        <f t="shared" si="27"/>
        <v>0</v>
      </c>
      <c r="L40" s="11">
        <f t="shared" si="28"/>
        <v>0</v>
      </c>
      <c r="M40" s="11">
        <f t="shared" si="21"/>
        <v>770</v>
      </c>
      <c r="N40" s="11">
        <f t="shared" si="22"/>
        <v>128.33333333333326</v>
      </c>
      <c r="O40" s="11">
        <f t="shared" si="23"/>
        <v>0</v>
      </c>
      <c r="P40" s="4"/>
    </row>
    <row r="41" spans="1:16" s="1" customFormat="1" ht="15.75" thickBot="1">
      <c r="A41" s="12" t="s">
        <v>31</v>
      </c>
      <c r="B41" s="16"/>
      <c r="C41" s="16"/>
      <c r="D41" s="16"/>
      <c r="E41" s="16"/>
      <c r="F41" s="16"/>
      <c r="G41" s="17">
        <f>SUM(G34:G40)</f>
        <v>9969.1666666666661</v>
      </c>
      <c r="H41" s="21">
        <f>SUM(H34:H40)</f>
        <v>13097.083333333334</v>
      </c>
      <c r="I41" s="16"/>
      <c r="J41" s="21">
        <f>SUM(J34:J40)</f>
        <v>12472</v>
      </c>
      <c r="K41" s="11"/>
      <c r="L41" s="17">
        <f>SUM(L34:L40)</f>
        <v>3961</v>
      </c>
      <c r="M41" s="21">
        <f>SUM(M34:M40)</f>
        <v>16433</v>
      </c>
      <c r="N41" s="21">
        <f>SUM(N34:N40)</f>
        <v>3335.9166666666661</v>
      </c>
      <c r="O41" s="18">
        <f>SUM(O34:O40)-P41</f>
        <v>0</v>
      </c>
      <c r="P41" s="17">
        <f>0+0+1066+700+560+560+810+140+125</f>
        <v>3961</v>
      </c>
    </row>
    <row r="42" spans="1:16" ht="17.25" thickTop="1" thickBot="1">
      <c r="A42" s="20" t="s">
        <v>12</v>
      </c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</row>
    <row r="43" spans="1:16" ht="16.5" thickTop="1">
      <c r="A43" s="72" t="s">
        <v>32</v>
      </c>
      <c r="B43" s="35" t="s">
        <v>19</v>
      </c>
      <c r="C43" s="35" t="s">
        <v>23</v>
      </c>
      <c r="D43" s="36" t="s">
        <v>74</v>
      </c>
      <c r="E43" s="36" t="s">
        <v>6</v>
      </c>
      <c r="F43" s="36" t="s">
        <v>3</v>
      </c>
      <c r="G43" s="36" t="s">
        <v>50</v>
      </c>
      <c r="H43" s="36" t="s">
        <v>51</v>
      </c>
      <c r="I43" s="36" t="s">
        <v>55</v>
      </c>
      <c r="J43" s="36" t="s">
        <v>15</v>
      </c>
      <c r="K43" s="36" t="s">
        <v>37</v>
      </c>
      <c r="L43" s="36" t="s">
        <v>38</v>
      </c>
      <c r="M43" s="36" t="s">
        <v>53</v>
      </c>
      <c r="N43" s="36" t="s">
        <v>54</v>
      </c>
      <c r="O43" s="36" t="s">
        <v>16</v>
      </c>
      <c r="P43" s="36" t="s">
        <v>4</v>
      </c>
    </row>
    <row r="44" spans="1:16">
      <c r="A44" s="3" t="s">
        <v>2</v>
      </c>
      <c r="B44" s="13">
        <v>50</v>
      </c>
      <c r="C44" s="5">
        <v>35</v>
      </c>
      <c r="D44" s="4">
        <f>3850/50</f>
        <v>77</v>
      </c>
      <c r="E44" s="4">
        <f>(C44+(F44*B44))-K44</f>
        <v>24.25</v>
      </c>
      <c r="F44" s="4">
        <f>0+0</f>
        <v>0</v>
      </c>
      <c r="G44" s="11">
        <f>E44*D44</f>
        <v>1867.25</v>
      </c>
      <c r="H44" s="11">
        <f>(E44+K44)*D44</f>
        <v>2695</v>
      </c>
      <c r="I44" s="4">
        <v>100</v>
      </c>
      <c r="J44" s="11">
        <f>(I44*E44)</f>
        <v>2425</v>
      </c>
      <c r="K44" s="11">
        <f>0+0+2.75+1.25+0.5+0.5+1.5+1.25+2.5+0.5</f>
        <v>10.75</v>
      </c>
      <c r="L44" s="11">
        <f>K44*I44</f>
        <v>1075</v>
      </c>
      <c r="M44" s="11">
        <f>J44+L44</f>
        <v>3500</v>
      </c>
      <c r="N44" s="11">
        <f>M44-H44</f>
        <v>805</v>
      </c>
      <c r="O44" s="11">
        <f>L44</f>
        <v>1075</v>
      </c>
      <c r="P44" s="4"/>
    </row>
    <row r="45" spans="1:16">
      <c r="A45" s="12" t="s">
        <v>33</v>
      </c>
      <c r="B45" s="13">
        <v>12</v>
      </c>
      <c r="C45" s="5">
        <v>0</v>
      </c>
      <c r="D45" s="4"/>
      <c r="E45" s="4">
        <f>(C45+(F45*B45))-K45</f>
        <v>0</v>
      </c>
      <c r="F45" s="4">
        <f>0+0</f>
        <v>0</v>
      </c>
      <c r="G45" s="11">
        <f>E45*D45</f>
        <v>0</v>
      </c>
      <c r="H45" s="11">
        <f>(E45+K45)*D45</f>
        <v>0</v>
      </c>
      <c r="I45" s="4"/>
      <c r="J45" s="11">
        <f>(I45*E45)</f>
        <v>0</v>
      </c>
      <c r="K45" s="11">
        <f>0+0</f>
        <v>0</v>
      </c>
      <c r="L45" s="11">
        <f>K45*I45</f>
        <v>0</v>
      </c>
      <c r="M45" s="11">
        <f>J45+L45</f>
        <v>0</v>
      </c>
      <c r="N45" s="11">
        <f>M45-H45</f>
        <v>0</v>
      </c>
      <c r="O45" s="11">
        <f>L45</f>
        <v>0</v>
      </c>
      <c r="P45" s="4"/>
    </row>
    <row r="46" spans="1:16">
      <c r="A46" s="12" t="s">
        <v>34</v>
      </c>
      <c r="B46" s="13">
        <v>24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 s="1" customFormat="1" ht="15.75" thickBot="1">
      <c r="A47" s="12" t="s">
        <v>35</v>
      </c>
      <c r="B47" s="16"/>
      <c r="C47" s="16"/>
      <c r="D47" s="16"/>
      <c r="E47" s="16"/>
      <c r="F47" s="16"/>
      <c r="G47" s="17">
        <f>SUM(G44:G46)</f>
        <v>1867.25</v>
      </c>
      <c r="H47" s="17">
        <f>SUM(H44:H46)</f>
        <v>2695</v>
      </c>
      <c r="I47" s="16"/>
      <c r="J47" s="17">
        <f>SUM(J44:J46)</f>
        <v>2425</v>
      </c>
      <c r="K47" s="17"/>
      <c r="L47" s="17">
        <f>SUM(L44:L46)</f>
        <v>1075</v>
      </c>
      <c r="M47" s="17">
        <f>SUM(M44:M46)</f>
        <v>3500</v>
      </c>
      <c r="N47" s="17">
        <f>SUM(N44:N46)</f>
        <v>805</v>
      </c>
      <c r="O47" s="17">
        <f>SUM(O44:O46)-P47</f>
        <v>0</v>
      </c>
      <c r="P47" s="17">
        <f>0+0+275+125+50+50+150+125+250+50</f>
        <v>1075</v>
      </c>
    </row>
    <row r="48" spans="1:16" s="1" customFormat="1" ht="17.25" thickTop="1" thickBot="1">
      <c r="A48" s="20" t="s">
        <v>12</v>
      </c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</row>
    <row r="49" spans="1:16" s="1" customFormat="1" ht="16.5" thickTop="1">
      <c r="A49" s="74" t="s">
        <v>39</v>
      </c>
      <c r="B49" s="35" t="s">
        <v>19</v>
      </c>
      <c r="C49" s="35" t="s">
        <v>23</v>
      </c>
      <c r="D49" s="36" t="s">
        <v>74</v>
      </c>
      <c r="E49" s="36" t="s">
        <v>6</v>
      </c>
      <c r="F49" s="36" t="s">
        <v>3</v>
      </c>
      <c r="G49" s="36" t="s">
        <v>50</v>
      </c>
      <c r="H49" s="36" t="s">
        <v>51</v>
      </c>
      <c r="I49" s="36" t="s">
        <v>55</v>
      </c>
      <c r="J49" s="36" t="s">
        <v>15</v>
      </c>
      <c r="K49" s="36" t="s">
        <v>37</v>
      </c>
      <c r="L49" s="36" t="s">
        <v>38</v>
      </c>
      <c r="M49" s="36" t="s">
        <v>53</v>
      </c>
      <c r="N49" s="36" t="s">
        <v>54</v>
      </c>
      <c r="O49" s="36" t="s">
        <v>16</v>
      </c>
      <c r="P49" s="36" t="s">
        <v>4</v>
      </c>
    </row>
    <row r="50" spans="1:16" s="2" customFormat="1">
      <c r="A50" s="3" t="s">
        <v>2</v>
      </c>
      <c r="B50" s="5">
        <v>8</v>
      </c>
      <c r="C50" s="5">
        <v>8</v>
      </c>
      <c r="D50" s="65">
        <f>1816/8</f>
        <v>227</v>
      </c>
      <c r="E50" s="4">
        <f t="shared" ref="E50:E59" si="29">(C50+(F50*B50))-K50</f>
        <v>8</v>
      </c>
      <c r="F50" s="4">
        <f>0+0</f>
        <v>0</v>
      </c>
      <c r="G50" s="11">
        <f t="shared" ref="G50:G59" si="30">E50*D50</f>
        <v>1816</v>
      </c>
      <c r="H50" s="11">
        <f t="shared" ref="H50:H59" si="31">(E50+K50)*D50</f>
        <v>1816</v>
      </c>
      <c r="I50" s="5">
        <v>250</v>
      </c>
      <c r="J50" s="11">
        <f t="shared" ref="J50:J59" si="32">(I50*E50)</f>
        <v>2000</v>
      </c>
      <c r="K50" s="11">
        <f>0+0</f>
        <v>0</v>
      </c>
      <c r="L50" s="11">
        <f>K50*I50</f>
        <v>0</v>
      </c>
      <c r="M50" s="11">
        <f t="shared" ref="M50:M59" si="33">J50+L50</f>
        <v>2000</v>
      </c>
      <c r="N50" s="11">
        <f t="shared" ref="N50:N59" si="34">M50-H50</f>
        <v>184</v>
      </c>
      <c r="O50" s="11">
        <f t="shared" ref="O50:O59" si="35">L50</f>
        <v>0</v>
      </c>
      <c r="P50" s="32"/>
    </row>
    <row r="51" spans="1:16" s="2" customFormat="1">
      <c r="A51" s="12" t="s">
        <v>73</v>
      </c>
      <c r="B51" s="5">
        <v>8</v>
      </c>
      <c r="C51" s="5">
        <v>11</v>
      </c>
      <c r="D51" s="65">
        <f>1890/8</f>
        <v>236.25</v>
      </c>
      <c r="E51" s="4">
        <f t="shared" si="29"/>
        <v>10</v>
      </c>
      <c r="F51" s="4">
        <f t="shared" ref="F51:F59" si="36">0+0</f>
        <v>0</v>
      </c>
      <c r="G51" s="11">
        <f t="shared" si="30"/>
        <v>2362.5</v>
      </c>
      <c r="H51" s="11">
        <f t="shared" si="31"/>
        <v>2598.75</v>
      </c>
      <c r="I51" s="5">
        <v>250</v>
      </c>
      <c r="J51" s="11">
        <f t="shared" si="32"/>
        <v>2500</v>
      </c>
      <c r="K51" s="11">
        <f>0+0+1</f>
        <v>1</v>
      </c>
      <c r="L51" s="11">
        <f t="shared" ref="L51:L59" si="37">K51*I51</f>
        <v>250</v>
      </c>
      <c r="M51" s="11">
        <f t="shared" si="33"/>
        <v>2750</v>
      </c>
      <c r="N51" s="11">
        <f t="shared" si="34"/>
        <v>151.25</v>
      </c>
      <c r="O51" s="11">
        <f t="shared" si="35"/>
        <v>250</v>
      </c>
      <c r="P51" s="32"/>
    </row>
    <row r="52" spans="1:16" s="2" customFormat="1">
      <c r="A52" s="12" t="s">
        <v>75</v>
      </c>
      <c r="B52" s="5">
        <v>64</v>
      </c>
      <c r="C52" s="5">
        <v>0</v>
      </c>
      <c r="D52" s="65">
        <f>1700/64</f>
        <v>26.5625</v>
      </c>
      <c r="E52" s="4">
        <f t="shared" si="29"/>
        <v>0</v>
      </c>
      <c r="F52" s="4">
        <f t="shared" si="36"/>
        <v>0</v>
      </c>
      <c r="G52" s="11">
        <f t="shared" si="30"/>
        <v>0</v>
      </c>
      <c r="H52" s="11">
        <f t="shared" si="31"/>
        <v>0</v>
      </c>
      <c r="I52" s="5">
        <v>30</v>
      </c>
      <c r="J52" s="11">
        <f t="shared" si="32"/>
        <v>0</v>
      </c>
      <c r="K52" s="11">
        <f t="shared" ref="K52:K59" si="38">0+0</f>
        <v>0</v>
      </c>
      <c r="L52" s="11">
        <f t="shared" si="37"/>
        <v>0</v>
      </c>
      <c r="M52" s="11">
        <f t="shared" si="33"/>
        <v>0</v>
      </c>
      <c r="N52" s="11">
        <f t="shared" si="34"/>
        <v>0</v>
      </c>
      <c r="O52" s="11">
        <f t="shared" si="35"/>
        <v>0</v>
      </c>
      <c r="P52" s="32"/>
    </row>
    <row r="53" spans="1:16" s="2" customFormat="1">
      <c r="A53" s="12" t="s">
        <v>76</v>
      </c>
      <c r="B53" s="5">
        <v>72</v>
      </c>
      <c r="C53" s="5">
        <v>72</v>
      </c>
      <c r="D53" s="65">
        <f>1700/72</f>
        <v>23.611111111111111</v>
      </c>
      <c r="E53" s="4">
        <f t="shared" si="29"/>
        <v>72</v>
      </c>
      <c r="F53" s="4">
        <f t="shared" si="36"/>
        <v>0</v>
      </c>
      <c r="G53" s="11">
        <f t="shared" si="30"/>
        <v>1700</v>
      </c>
      <c r="H53" s="11">
        <f t="shared" si="31"/>
        <v>1700</v>
      </c>
      <c r="I53" s="5">
        <v>30</v>
      </c>
      <c r="J53" s="11">
        <f t="shared" si="32"/>
        <v>2160</v>
      </c>
      <c r="K53" s="11">
        <f t="shared" si="38"/>
        <v>0</v>
      </c>
      <c r="L53" s="11">
        <f t="shared" si="37"/>
        <v>0</v>
      </c>
      <c r="M53" s="11">
        <f t="shared" si="33"/>
        <v>2160</v>
      </c>
      <c r="N53" s="11">
        <f t="shared" si="34"/>
        <v>460</v>
      </c>
      <c r="O53" s="11">
        <f t="shared" si="35"/>
        <v>0</v>
      </c>
      <c r="P53" s="32"/>
    </row>
    <row r="54" spans="1:16" s="2" customFormat="1">
      <c r="A54" s="12" t="s">
        <v>77</v>
      </c>
      <c r="B54" s="5">
        <v>50</v>
      </c>
      <c r="C54" s="5">
        <v>10</v>
      </c>
      <c r="D54" s="5">
        <f>1500/50</f>
        <v>30</v>
      </c>
      <c r="E54" s="4">
        <f t="shared" si="29"/>
        <v>4</v>
      </c>
      <c r="F54" s="4">
        <f t="shared" si="36"/>
        <v>0</v>
      </c>
      <c r="G54" s="11">
        <f t="shared" si="30"/>
        <v>120</v>
      </c>
      <c r="H54" s="11">
        <f t="shared" si="31"/>
        <v>300</v>
      </c>
      <c r="I54" s="5">
        <v>35</v>
      </c>
      <c r="J54" s="11">
        <f t="shared" si="32"/>
        <v>140</v>
      </c>
      <c r="K54" s="11">
        <f>0+0+4+1+1</f>
        <v>6</v>
      </c>
      <c r="L54" s="11">
        <f t="shared" si="37"/>
        <v>210</v>
      </c>
      <c r="M54" s="11">
        <f t="shared" si="33"/>
        <v>350</v>
      </c>
      <c r="N54" s="11">
        <f t="shared" si="34"/>
        <v>50</v>
      </c>
      <c r="O54" s="11">
        <f t="shared" si="35"/>
        <v>210</v>
      </c>
      <c r="P54" s="32"/>
    </row>
    <row r="55" spans="1:16" s="2" customFormat="1">
      <c r="A55" s="12" t="s">
        <v>92</v>
      </c>
      <c r="B55" s="5"/>
      <c r="C55" s="5">
        <v>0</v>
      </c>
      <c r="D55" s="5"/>
      <c r="E55" s="4">
        <f t="shared" si="29"/>
        <v>0</v>
      </c>
      <c r="F55" s="4">
        <f t="shared" si="36"/>
        <v>0</v>
      </c>
      <c r="G55" s="11">
        <f t="shared" si="30"/>
        <v>0</v>
      </c>
      <c r="H55" s="11">
        <f t="shared" si="31"/>
        <v>0</v>
      </c>
      <c r="I55" s="5"/>
      <c r="J55" s="11">
        <f t="shared" si="32"/>
        <v>0</v>
      </c>
      <c r="K55" s="11">
        <f t="shared" si="38"/>
        <v>0</v>
      </c>
      <c r="L55" s="11">
        <f t="shared" si="37"/>
        <v>0</v>
      </c>
      <c r="M55" s="11">
        <f t="shared" si="33"/>
        <v>0</v>
      </c>
      <c r="N55" s="11">
        <f t="shared" si="34"/>
        <v>0</v>
      </c>
      <c r="O55" s="11">
        <f t="shared" si="35"/>
        <v>0</v>
      </c>
      <c r="P55" s="32"/>
    </row>
    <row r="56" spans="1:16" s="2" customFormat="1">
      <c r="A56" s="12" t="s">
        <v>40</v>
      </c>
      <c r="B56" s="5"/>
      <c r="C56" s="5">
        <v>0</v>
      </c>
      <c r="D56" s="5"/>
      <c r="E56" s="4">
        <f t="shared" si="29"/>
        <v>0</v>
      </c>
      <c r="F56" s="4">
        <f t="shared" si="36"/>
        <v>0</v>
      </c>
      <c r="G56" s="11">
        <f t="shared" si="30"/>
        <v>0</v>
      </c>
      <c r="H56" s="11">
        <f t="shared" si="31"/>
        <v>0</v>
      </c>
      <c r="I56" s="5"/>
      <c r="J56" s="11">
        <f t="shared" si="32"/>
        <v>0</v>
      </c>
      <c r="K56" s="11">
        <f t="shared" si="38"/>
        <v>0</v>
      </c>
      <c r="L56" s="11">
        <f t="shared" si="37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41</v>
      </c>
      <c r="B57" s="5"/>
      <c r="C57" s="5">
        <v>0</v>
      </c>
      <c r="D57" s="5"/>
      <c r="E57" s="4">
        <f t="shared" si="29"/>
        <v>0</v>
      </c>
      <c r="F57" s="4">
        <f t="shared" si="36"/>
        <v>0</v>
      </c>
      <c r="G57" s="11">
        <f t="shared" si="30"/>
        <v>0</v>
      </c>
      <c r="H57" s="11">
        <f t="shared" si="31"/>
        <v>0</v>
      </c>
      <c r="I57" s="5"/>
      <c r="J57" s="11">
        <f t="shared" si="32"/>
        <v>0</v>
      </c>
      <c r="K57" s="11">
        <f t="shared" si="38"/>
        <v>0</v>
      </c>
      <c r="L57" s="11">
        <f t="shared" si="37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>
      <c r="A58" s="12" t="s">
        <v>42</v>
      </c>
      <c r="B58" s="5"/>
      <c r="C58" s="5">
        <v>0</v>
      </c>
      <c r="D58" s="5"/>
      <c r="E58" s="4">
        <f t="shared" si="29"/>
        <v>0</v>
      </c>
      <c r="F58" s="4">
        <f t="shared" si="36"/>
        <v>0</v>
      </c>
      <c r="G58" s="11">
        <f t="shared" si="30"/>
        <v>0</v>
      </c>
      <c r="H58" s="11">
        <f t="shared" si="31"/>
        <v>0</v>
      </c>
      <c r="I58" s="5"/>
      <c r="J58" s="11">
        <f t="shared" si="32"/>
        <v>0</v>
      </c>
      <c r="K58" s="11">
        <f t="shared" si="38"/>
        <v>0</v>
      </c>
      <c r="L58" s="11">
        <f t="shared" si="37"/>
        <v>0</v>
      </c>
      <c r="M58" s="11">
        <f t="shared" si="33"/>
        <v>0</v>
      </c>
      <c r="N58" s="11">
        <f t="shared" si="34"/>
        <v>0</v>
      </c>
      <c r="O58" s="11">
        <f t="shared" si="35"/>
        <v>0</v>
      </c>
      <c r="P58" s="32"/>
    </row>
    <row r="59" spans="1:16" s="2" customFormat="1">
      <c r="A59" s="12" t="s">
        <v>43</v>
      </c>
      <c r="B59" s="5"/>
      <c r="C59" s="5">
        <v>0</v>
      </c>
      <c r="D59" s="5"/>
      <c r="E59" s="4">
        <f t="shared" si="29"/>
        <v>0</v>
      </c>
      <c r="F59" s="4">
        <f t="shared" si="36"/>
        <v>0</v>
      </c>
      <c r="G59" s="11">
        <f t="shared" si="30"/>
        <v>0</v>
      </c>
      <c r="H59" s="11">
        <f t="shared" si="31"/>
        <v>0</v>
      </c>
      <c r="I59" s="5"/>
      <c r="J59" s="11">
        <f t="shared" si="32"/>
        <v>0</v>
      </c>
      <c r="K59" s="11">
        <f t="shared" si="38"/>
        <v>0</v>
      </c>
      <c r="L59" s="11">
        <f t="shared" si="37"/>
        <v>0</v>
      </c>
      <c r="M59" s="11">
        <f t="shared" si="33"/>
        <v>0</v>
      </c>
      <c r="N59" s="11">
        <f t="shared" si="34"/>
        <v>0</v>
      </c>
      <c r="O59" s="11">
        <f t="shared" si="35"/>
        <v>0</v>
      </c>
      <c r="P59" s="32"/>
    </row>
    <row r="60" spans="1:16" s="2" customFormat="1" ht="15.75" thickBot="1">
      <c r="A60" s="12" t="s">
        <v>44</v>
      </c>
      <c r="B60" s="39"/>
      <c r="C60" s="39"/>
      <c r="D60" s="39"/>
      <c r="E60" s="16"/>
      <c r="F60" s="40"/>
      <c r="G60" s="17">
        <f>SUM(G50:G59)</f>
        <v>5998.5</v>
      </c>
      <c r="H60" s="17">
        <f>SUM(H50:H59)</f>
        <v>6414.75</v>
      </c>
      <c r="I60" s="39"/>
      <c r="J60" s="17">
        <f>SUM(J50:J59)</f>
        <v>6800</v>
      </c>
      <c r="K60" s="41"/>
      <c r="L60" s="17">
        <f>SUM(L50:L59)</f>
        <v>460</v>
      </c>
      <c r="M60" s="17">
        <f>SUM(M50:M59)</f>
        <v>7260</v>
      </c>
      <c r="N60" s="17">
        <f>SUM(N50:N59)</f>
        <v>845.25</v>
      </c>
      <c r="O60" s="17">
        <f>SUM(O50:O59)-P60</f>
        <v>0</v>
      </c>
      <c r="P60" s="17">
        <f>0+0+390+35+35</f>
        <v>460</v>
      </c>
    </row>
    <row r="61" spans="1:16" s="2" customFormat="1" ht="16.5" thickTop="1">
      <c r="A61" s="38" t="s">
        <v>12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7"/>
    </row>
    <row r="62" spans="1:16" s="2" customFormat="1" ht="15.75">
      <c r="A62" s="76" t="s">
        <v>45</v>
      </c>
      <c r="B62" s="35" t="s">
        <v>19</v>
      </c>
      <c r="C62" s="35" t="s">
        <v>23</v>
      </c>
      <c r="D62" s="36" t="s">
        <v>5</v>
      </c>
      <c r="E62" s="36" t="s">
        <v>6</v>
      </c>
      <c r="F62" s="36" t="s">
        <v>3</v>
      </c>
      <c r="G62" s="36" t="s">
        <v>50</v>
      </c>
      <c r="H62" s="36" t="s">
        <v>51</v>
      </c>
      <c r="I62" s="36" t="s">
        <v>55</v>
      </c>
      <c r="J62" s="36" t="s">
        <v>15</v>
      </c>
      <c r="K62" s="36" t="s">
        <v>37</v>
      </c>
      <c r="L62" s="36" t="s">
        <v>38</v>
      </c>
      <c r="M62" s="36" t="s">
        <v>53</v>
      </c>
      <c r="N62" s="36" t="s">
        <v>54</v>
      </c>
      <c r="O62" s="36" t="s">
        <v>16</v>
      </c>
      <c r="P62" s="36" t="s">
        <v>4</v>
      </c>
    </row>
    <row r="63" spans="1:16" s="2" customFormat="1">
      <c r="A63" s="3" t="s">
        <v>2</v>
      </c>
      <c r="B63" s="5">
        <v>16</v>
      </c>
      <c r="C63" s="5">
        <v>1</v>
      </c>
      <c r="D63" s="5">
        <f>2256/16</f>
        <v>141</v>
      </c>
      <c r="E63" s="4">
        <f t="shared" ref="E63:E70" si="39">(C63+(F63*B63))-K63</f>
        <v>0</v>
      </c>
      <c r="F63" s="4">
        <f>0+0</f>
        <v>0</v>
      </c>
      <c r="G63" s="11">
        <f t="shared" ref="G63:G70" si="40">E63*D63</f>
        <v>0</v>
      </c>
      <c r="H63" s="11">
        <f t="shared" ref="H63:H70" si="41">(E63+K63)*D63</f>
        <v>141</v>
      </c>
      <c r="I63" s="5">
        <v>155</v>
      </c>
      <c r="J63" s="11">
        <f t="shared" ref="J63:J70" si="42">(I63*E63)</f>
        <v>0</v>
      </c>
      <c r="K63" s="11">
        <f>0+0+1</f>
        <v>1</v>
      </c>
      <c r="L63" s="11">
        <f t="shared" ref="L63:L70" si="43">K63*I63</f>
        <v>155</v>
      </c>
      <c r="M63" s="11">
        <f t="shared" ref="M63:M70" si="44">J63+L63</f>
        <v>155</v>
      </c>
      <c r="N63" s="11">
        <f t="shared" ref="N63:N70" si="45">M63-H63</f>
        <v>14</v>
      </c>
      <c r="O63" s="11">
        <f t="shared" ref="O63:O70" si="46">L63</f>
        <v>155</v>
      </c>
      <c r="P63" s="32"/>
    </row>
    <row r="64" spans="1:16" s="2" customFormat="1">
      <c r="A64" s="12" t="s">
        <v>78</v>
      </c>
      <c r="B64" s="5">
        <v>16</v>
      </c>
      <c r="C64" s="5">
        <v>6</v>
      </c>
      <c r="D64" s="65">
        <f>1237/16</f>
        <v>77.3125</v>
      </c>
      <c r="E64" s="4">
        <f t="shared" si="39"/>
        <v>3</v>
      </c>
      <c r="F64" s="4">
        <f t="shared" ref="F64" si="47">0+0</f>
        <v>0</v>
      </c>
      <c r="G64" s="11">
        <f t="shared" si="40"/>
        <v>231.9375</v>
      </c>
      <c r="H64" s="11">
        <f t="shared" si="41"/>
        <v>463.875</v>
      </c>
      <c r="I64" s="5">
        <v>85</v>
      </c>
      <c r="J64" s="11">
        <f t="shared" si="42"/>
        <v>255</v>
      </c>
      <c r="K64" s="11">
        <f>0+0+1+1+1</f>
        <v>3</v>
      </c>
      <c r="L64" s="11">
        <f t="shared" si="43"/>
        <v>255</v>
      </c>
      <c r="M64" s="11">
        <f t="shared" si="44"/>
        <v>510</v>
      </c>
      <c r="N64" s="11">
        <f t="shared" si="45"/>
        <v>46.125</v>
      </c>
      <c r="O64" s="11">
        <f t="shared" si="46"/>
        <v>255</v>
      </c>
      <c r="P64" s="32"/>
    </row>
    <row r="65" spans="1:16" s="2" customFormat="1">
      <c r="A65" s="12" t="s">
        <v>79</v>
      </c>
      <c r="B65" s="5">
        <v>18</v>
      </c>
      <c r="C65" s="5">
        <v>17</v>
      </c>
      <c r="D65" s="65">
        <f>1476/18</f>
        <v>82</v>
      </c>
      <c r="E65" s="4">
        <f t="shared" si="39"/>
        <v>14</v>
      </c>
      <c r="F65" s="4">
        <f t="shared" ref="F65:F70" si="48">0+0</f>
        <v>0</v>
      </c>
      <c r="G65" s="11">
        <f t="shared" si="40"/>
        <v>1148</v>
      </c>
      <c r="H65" s="11">
        <f t="shared" si="41"/>
        <v>1394</v>
      </c>
      <c r="I65" s="5">
        <v>90</v>
      </c>
      <c r="J65" s="11">
        <f t="shared" si="42"/>
        <v>1260</v>
      </c>
      <c r="K65" s="11">
        <f>0+0+1+1+1</f>
        <v>3</v>
      </c>
      <c r="L65" s="11">
        <f t="shared" si="43"/>
        <v>270</v>
      </c>
      <c r="M65" s="11">
        <f t="shared" si="44"/>
        <v>1530</v>
      </c>
      <c r="N65" s="11">
        <f t="shared" si="45"/>
        <v>136</v>
      </c>
      <c r="O65" s="11">
        <f t="shared" si="46"/>
        <v>270</v>
      </c>
      <c r="P65" s="32"/>
    </row>
    <row r="66" spans="1:16" s="2" customFormat="1">
      <c r="A66" s="12" t="s">
        <v>80</v>
      </c>
      <c r="B66" s="5">
        <v>16</v>
      </c>
      <c r="C66" s="5">
        <v>14</v>
      </c>
      <c r="D66" s="65">
        <f>1310/16</f>
        <v>81.875</v>
      </c>
      <c r="E66" s="4">
        <f t="shared" si="39"/>
        <v>10</v>
      </c>
      <c r="F66" s="4">
        <f t="shared" si="48"/>
        <v>0</v>
      </c>
      <c r="G66" s="11">
        <f t="shared" si="40"/>
        <v>818.75</v>
      </c>
      <c r="H66" s="11">
        <f t="shared" si="41"/>
        <v>1146.25</v>
      </c>
      <c r="I66" s="5">
        <v>90</v>
      </c>
      <c r="J66" s="11">
        <f t="shared" si="42"/>
        <v>900</v>
      </c>
      <c r="K66" s="11">
        <f>0+0+1+1+1+1</f>
        <v>4</v>
      </c>
      <c r="L66" s="11">
        <f t="shared" si="43"/>
        <v>360</v>
      </c>
      <c r="M66" s="11">
        <f t="shared" si="44"/>
        <v>1260</v>
      </c>
      <c r="N66" s="11">
        <f t="shared" si="45"/>
        <v>113.75</v>
      </c>
      <c r="O66" s="11">
        <f t="shared" si="46"/>
        <v>360</v>
      </c>
      <c r="P66" s="32"/>
    </row>
    <row r="67" spans="1:16" s="2" customFormat="1">
      <c r="A67" s="12" t="s">
        <v>81</v>
      </c>
      <c r="B67" s="5"/>
      <c r="C67" s="5">
        <v>0</v>
      </c>
      <c r="D67" s="5"/>
      <c r="E67" s="4">
        <f t="shared" si="39"/>
        <v>0</v>
      </c>
      <c r="F67" s="4">
        <f t="shared" si="48"/>
        <v>0</v>
      </c>
      <c r="G67" s="11">
        <f t="shared" si="40"/>
        <v>0</v>
      </c>
      <c r="H67" s="11">
        <f t="shared" si="41"/>
        <v>0</v>
      </c>
      <c r="I67" s="5"/>
      <c r="J67" s="11">
        <f t="shared" si="42"/>
        <v>0</v>
      </c>
      <c r="K67" s="11">
        <f t="shared" ref="K67:K70" si="49">0+0</f>
        <v>0</v>
      </c>
      <c r="L67" s="11">
        <f t="shared" si="43"/>
        <v>0</v>
      </c>
      <c r="M67" s="11">
        <f t="shared" si="44"/>
        <v>0</v>
      </c>
      <c r="N67" s="11">
        <f t="shared" si="45"/>
        <v>0</v>
      </c>
      <c r="O67" s="11">
        <f t="shared" si="46"/>
        <v>0</v>
      </c>
      <c r="P67" s="32"/>
    </row>
    <row r="68" spans="1:16" s="2" customFormat="1">
      <c r="A68" s="12" t="s">
        <v>46</v>
      </c>
      <c r="B68" s="5"/>
      <c r="C68" s="5">
        <v>0</v>
      </c>
      <c r="D68" s="5"/>
      <c r="E68" s="4">
        <f t="shared" si="39"/>
        <v>0</v>
      </c>
      <c r="F68" s="4">
        <f t="shared" si="48"/>
        <v>0</v>
      </c>
      <c r="G68" s="11">
        <f t="shared" si="40"/>
        <v>0</v>
      </c>
      <c r="H68" s="11">
        <f t="shared" si="41"/>
        <v>0</v>
      </c>
      <c r="I68" s="5"/>
      <c r="J68" s="11">
        <f t="shared" si="42"/>
        <v>0</v>
      </c>
      <c r="K68" s="11">
        <f t="shared" si="49"/>
        <v>0</v>
      </c>
      <c r="L68" s="11">
        <f t="shared" si="43"/>
        <v>0</v>
      </c>
      <c r="M68" s="11">
        <f t="shared" si="44"/>
        <v>0</v>
      </c>
      <c r="N68" s="11">
        <f t="shared" si="45"/>
        <v>0</v>
      </c>
      <c r="O68" s="11">
        <f t="shared" si="46"/>
        <v>0</v>
      </c>
      <c r="P68" s="32"/>
    </row>
    <row r="69" spans="1:16" s="2" customFormat="1">
      <c r="A69" s="12" t="s">
        <v>47</v>
      </c>
      <c r="B69" s="5"/>
      <c r="C69" s="5">
        <v>0</v>
      </c>
      <c r="D69" s="5"/>
      <c r="E69" s="4">
        <f t="shared" si="39"/>
        <v>0</v>
      </c>
      <c r="F69" s="4">
        <f t="shared" si="48"/>
        <v>0</v>
      </c>
      <c r="G69" s="11">
        <f t="shared" si="40"/>
        <v>0</v>
      </c>
      <c r="H69" s="11">
        <f t="shared" si="41"/>
        <v>0</v>
      </c>
      <c r="I69" s="5"/>
      <c r="J69" s="11">
        <f t="shared" si="42"/>
        <v>0</v>
      </c>
      <c r="K69" s="11">
        <f t="shared" si="49"/>
        <v>0</v>
      </c>
      <c r="L69" s="11">
        <f t="shared" si="43"/>
        <v>0</v>
      </c>
      <c r="M69" s="11">
        <f t="shared" si="44"/>
        <v>0</v>
      </c>
      <c r="N69" s="11">
        <f t="shared" si="45"/>
        <v>0</v>
      </c>
      <c r="O69" s="11">
        <f t="shared" si="46"/>
        <v>0</v>
      </c>
      <c r="P69" s="32"/>
    </row>
    <row r="70" spans="1:16" s="2" customFormat="1">
      <c r="A70" s="12" t="s">
        <v>48</v>
      </c>
      <c r="B70" s="5"/>
      <c r="C70" s="5">
        <v>0</v>
      </c>
      <c r="D70" s="5"/>
      <c r="E70" s="4">
        <f t="shared" si="39"/>
        <v>0</v>
      </c>
      <c r="F70" s="4">
        <f t="shared" si="48"/>
        <v>0</v>
      </c>
      <c r="G70" s="11">
        <f t="shared" si="40"/>
        <v>0</v>
      </c>
      <c r="H70" s="11">
        <f t="shared" si="41"/>
        <v>0</v>
      </c>
      <c r="I70" s="5"/>
      <c r="J70" s="11">
        <f t="shared" si="42"/>
        <v>0</v>
      </c>
      <c r="K70" s="11">
        <f t="shared" si="49"/>
        <v>0</v>
      </c>
      <c r="L70" s="11">
        <f t="shared" si="43"/>
        <v>0</v>
      </c>
      <c r="M70" s="11">
        <f t="shared" si="44"/>
        <v>0</v>
      </c>
      <c r="N70" s="11">
        <f t="shared" si="45"/>
        <v>0</v>
      </c>
      <c r="O70" s="11">
        <f t="shared" si="46"/>
        <v>0</v>
      </c>
      <c r="P70" s="32"/>
    </row>
    <row r="71" spans="1:16" s="2" customFormat="1" ht="15.75" thickBot="1">
      <c r="A71" s="12" t="s">
        <v>49</v>
      </c>
      <c r="B71" s="39"/>
      <c r="C71" s="39"/>
      <c r="D71" s="39"/>
      <c r="E71" s="39"/>
      <c r="F71" s="39"/>
      <c r="G71" s="17">
        <f>SUM(G63:G70)</f>
        <v>2198.6875</v>
      </c>
      <c r="H71" s="17">
        <f>SUM(H63:H70)</f>
        <v>3145.125</v>
      </c>
      <c r="I71" s="39"/>
      <c r="J71" s="17">
        <f>SUM(J63:J70)</f>
        <v>2415</v>
      </c>
      <c r="K71" s="41"/>
      <c r="L71" s="17">
        <f>SUM(L63:L70)</f>
        <v>1040</v>
      </c>
      <c r="M71" s="17">
        <f>SUM(M63:M70)</f>
        <v>3455</v>
      </c>
      <c r="N71" s="17">
        <f>SUM(N63:N70)</f>
        <v>309.875</v>
      </c>
      <c r="O71" s="17">
        <f>SUM(O63:O70)-P71</f>
        <v>0</v>
      </c>
      <c r="P71" s="17">
        <f>0+0+85+245+175+180+90+175+90</f>
        <v>1040</v>
      </c>
    </row>
    <row r="72" spans="1:16" s="2" customFormat="1" ht="15.75" thickTop="1">
      <c r="A72" s="19" t="s">
        <v>12</v>
      </c>
      <c r="B72" s="30"/>
      <c r="C72" s="30"/>
      <c r="D72" s="30"/>
      <c r="E72" s="30"/>
      <c r="F72" s="30"/>
      <c r="G72" s="31"/>
      <c r="H72" s="31"/>
      <c r="I72" s="30"/>
      <c r="J72" s="31"/>
      <c r="K72" s="31"/>
      <c r="L72" s="31"/>
      <c r="M72" s="31"/>
      <c r="N72" s="31"/>
      <c r="O72" s="31"/>
      <c r="P72" s="31"/>
    </row>
    <row r="73" spans="1:16" ht="15.75" thickBot="1">
      <c r="A73" s="29"/>
    </row>
    <row r="74" spans="1:16" ht="16.5" thickBot="1"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</row>
    <row r="75" spans="1:16" ht="16.5" thickBot="1">
      <c r="A75" s="70" t="s">
        <v>36</v>
      </c>
      <c r="B75" s="56">
        <f>56607+B77</f>
        <v>56607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 ht="16.5" thickBot="1">
      <c r="A76" s="55" t="s">
        <v>65</v>
      </c>
      <c r="B76" s="67">
        <v>36206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66" t="s">
        <v>85</v>
      </c>
      <c r="B77" s="67">
        <v>0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 ht="15.75" thickBot="1">
      <c r="A78" s="66" t="s">
        <v>86</v>
      </c>
      <c r="B78" s="26">
        <f>G17+G31+G41+G47+G60+G71</f>
        <v>35256.104166666664</v>
      </c>
    </row>
    <row r="79" spans="1:16">
      <c r="A79" s="22" t="s">
        <v>59</v>
      </c>
      <c r="B79" s="44">
        <f>J17+J31+J41+J47+J60+J71</f>
        <v>42472</v>
      </c>
    </row>
    <row r="80" spans="1:16" ht="15.75" thickBot="1">
      <c r="A80" s="23" t="s">
        <v>60</v>
      </c>
      <c r="B80" s="51">
        <f>B81-B76-B77</f>
        <v>12684.625</v>
      </c>
    </row>
    <row r="81" spans="1:2" ht="15.75" thickBot="1">
      <c r="A81" s="45" t="s">
        <v>63</v>
      </c>
      <c r="B81" s="47">
        <f>H17+H31+H41+H47+H60+H71</f>
        <v>48890.625</v>
      </c>
    </row>
    <row r="82" spans="1:2">
      <c r="A82" s="46" t="s">
        <v>52</v>
      </c>
      <c r="B82" s="48">
        <f>M17+M31+M41+M47+M60+M71</f>
        <v>59073</v>
      </c>
    </row>
    <row r="83" spans="1:2">
      <c r="A83" s="43" t="s">
        <v>58</v>
      </c>
      <c r="B83" s="27">
        <f>N17+N31+N41+N47+N60+N71</f>
        <v>10182.375</v>
      </c>
    </row>
    <row r="84" spans="1:2" ht="15.75" thickBot="1">
      <c r="A84" s="24" t="s">
        <v>57</v>
      </c>
      <c r="B84" s="50">
        <f>L17+L31+L41+L47+L60+L71</f>
        <v>9321</v>
      </c>
    </row>
    <row r="85" spans="1:2" ht="15.75" thickBot="1">
      <c r="A85" s="49" t="s">
        <v>66</v>
      </c>
      <c r="B85" s="53">
        <f>P17+P31+P41+P47+P60+P71</f>
        <v>16601</v>
      </c>
    </row>
    <row r="86" spans="1:2">
      <c r="A86" s="52" t="s">
        <v>62</v>
      </c>
      <c r="B86" s="28">
        <f>O17+O31+O41+O47+O60+O71</f>
        <v>0</v>
      </c>
    </row>
    <row r="87" spans="1:2">
      <c r="A87" s="25" t="s">
        <v>61</v>
      </c>
      <c r="B87" s="69">
        <v>38903</v>
      </c>
    </row>
    <row r="88" spans="1:2" ht="15.75" thickBot="1">
      <c r="A88" s="68" t="s">
        <v>87</v>
      </c>
      <c r="B88" s="58">
        <f>B87+B85-B80-B89</f>
        <v>42819.375</v>
      </c>
    </row>
    <row r="89" spans="1:2" ht="15.75" thickBot="1">
      <c r="A89" s="57" t="s">
        <v>64</v>
      </c>
      <c r="B89" s="60">
        <v>0</v>
      </c>
    </row>
    <row r="90" spans="1:2" ht="15.75" thickBot="1">
      <c r="A90" s="59" t="s">
        <v>67</v>
      </c>
      <c r="B90" s="42">
        <f>(B79+B88)+B86</f>
        <v>85291.375</v>
      </c>
    </row>
    <row r="91" spans="1:2" ht="15.75" thickBot="1">
      <c r="A91" s="33" t="s">
        <v>68</v>
      </c>
    </row>
  </sheetData>
  <mergeCells count="5">
    <mergeCell ref="A1:P1"/>
    <mergeCell ref="A2:P2"/>
    <mergeCell ref="A3:P3"/>
    <mergeCell ref="A18:P18"/>
    <mergeCell ref="A32:P3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2015-06-11T18:46:56Z</dcterms:modified>
</cp:coreProperties>
</file>